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8915" windowHeight="6210"/>
  </bookViews>
  <sheets>
    <sheet name="MAP 2015" sheetId="6" r:id="rId1"/>
  </sheets>
  <definedNames>
    <definedName name="_xlnm.Print_Area" localSheetId="0">'MAP 2015'!$S$1:$AC$51</definedName>
  </definedNames>
  <calcPr calcId="145621"/>
</workbook>
</file>

<file path=xl/calcChain.xml><?xml version="1.0" encoding="utf-8"?>
<calcChain xmlns="http://schemas.openxmlformats.org/spreadsheetml/2006/main">
  <c r="D170" i="6" l="1"/>
  <c r="C170" i="6"/>
  <c r="D162" i="6" l="1"/>
  <c r="J50" i="6"/>
  <c r="J46" i="6"/>
  <c r="Y22" i="6"/>
  <c r="Y2" i="6"/>
  <c r="C39" i="6"/>
  <c r="B168" i="6"/>
  <c r="D168" i="6"/>
  <c r="C168" i="6"/>
  <c r="D44" i="6"/>
  <c r="C44" i="6"/>
  <c r="D167" i="6"/>
  <c r="D166" i="6"/>
  <c r="D165" i="6"/>
  <c r="D164" i="6"/>
  <c r="D163" i="6"/>
  <c r="C167" i="6"/>
  <c r="C166" i="6"/>
  <c r="C165" i="6"/>
  <c r="C164" i="6"/>
  <c r="C163" i="6"/>
  <c r="C162" i="6"/>
  <c r="E167" i="6"/>
  <c r="E166" i="6"/>
  <c r="E165" i="6"/>
  <c r="E164" i="6"/>
  <c r="E163" i="6"/>
  <c r="E162" i="6"/>
  <c r="B42" i="6"/>
  <c r="C42" i="6" s="1"/>
  <c r="C40" i="6" s="1"/>
  <c r="G6" i="6"/>
  <c r="AB24" i="6"/>
  <c r="X25" i="6" s="1"/>
  <c r="AB22" i="6"/>
  <c r="X23" i="6" s="1"/>
  <c r="T4" i="6"/>
  <c r="U2" i="6"/>
  <c r="F75" i="6"/>
  <c r="E75" i="6"/>
  <c r="H75" i="6"/>
  <c r="J26" i="6"/>
  <c r="U19" i="6" s="1"/>
  <c r="X38" i="6"/>
  <c r="B14" i="6"/>
  <c r="B16" i="6"/>
  <c r="B15" i="6"/>
  <c r="G32" i="6"/>
  <c r="G31" i="6"/>
  <c r="G30" i="6"/>
  <c r="G29" i="6"/>
  <c r="G28" i="6"/>
  <c r="G27" i="6"/>
  <c r="G26" i="6"/>
  <c r="H73" i="6"/>
  <c r="H72" i="6"/>
  <c r="D41" i="6"/>
  <c r="E158" i="6"/>
  <c r="H158" i="6"/>
  <c r="E157" i="6"/>
  <c r="H157" i="6"/>
  <c r="E156" i="6"/>
  <c r="E155" i="6"/>
  <c r="H155" i="6"/>
  <c r="E154" i="6"/>
  <c r="E153" i="6"/>
  <c r="E152" i="6"/>
  <c r="E151" i="6"/>
  <c r="H150" i="6"/>
  <c r="H149" i="6"/>
  <c r="F149" i="6"/>
  <c r="F148" i="6"/>
  <c r="F147" i="6"/>
  <c r="H148" i="6"/>
  <c r="H147" i="6"/>
  <c r="G111" i="6"/>
  <c r="G112" i="6"/>
  <c r="G119" i="6"/>
  <c r="G121" i="6"/>
  <c r="G122" i="6"/>
  <c r="G113" i="6"/>
  <c r="G120" i="6"/>
  <c r="G118" i="6"/>
  <c r="G114" i="6"/>
  <c r="G116" i="6"/>
  <c r="G117" i="6"/>
  <c r="G115" i="6"/>
  <c r="G109" i="6"/>
  <c r="G110" i="6"/>
  <c r="I109" i="6"/>
  <c r="F157" i="6"/>
  <c r="F156" i="6"/>
  <c r="F155" i="6"/>
  <c r="H154" i="6"/>
  <c r="H156" i="6"/>
  <c r="H152" i="6"/>
  <c r="H151" i="6"/>
  <c r="H153" i="6"/>
  <c r="F153" i="6"/>
  <c r="F152" i="6"/>
  <c r="F151" i="6"/>
  <c r="P2" i="6"/>
  <c r="N9" i="6" s="1"/>
  <c r="O2" i="6"/>
  <c r="N2" i="6"/>
  <c r="M2" i="6"/>
  <c r="J48" i="6"/>
  <c r="B105" i="6"/>
  <c r="B104" i="6"/>
  <c r="B103" i="6"/>
  <c r="B102" i="6"/>
  <c r="B101" i="6"/>
  <c r="B100" i="6"/>
  <c r="B99" i="6"/>
  <c r="B98" i="6"/>
  <c r="B97" i="6"/>
  <c r="J36" i="6"/>
  <c r="J41" i="6"/>
  <c r="X18" i="6"/>
  <c r="C1" i="6" s="1"/>
  <c r="D1" i="6" s="1"/>
  <c r="G57" i="6"/>
  <c r="G72" i="6" s="1"/>
  <c r="E17" i="6"/>
  <c r="G19" i="6"/>
  <c r="G21" i="6"/>
  <c r="G23" i="6"/>
  <c r="G22" i="6"/>
  <c r="G20" i="6"/>
  <c r="G24" i="6"/>
  <c r="G25" i="6"/>
  <c r="G149" i="6"/>
  <c r="G156" i="6"/>
  <c r="G154" i="6"/>
  <c r="H63" i="6"/>
  <c r="H62" i="6"/>
  <c r="H61" i="6"/>
  <c r="H60" i="6"/>
  <c r="M16" i="6"/>
  <c r="R1" i="6" s="1"/>
  <c r="H71" i="6"/>
  <c r="H67" i="6"/>
  <c r="H69" i="6"/>
  <c r="H70" i="6"/>
  <c r="G68" i="6"/>
  <c r="H64" i="6"/>
  <c r="H66" i="6"/>
  <c r="H65" i="6"/>
  <c r="H68" i="6"/>
  <c r="G65" i="6"/>
  <c r="G70" i="6"/>
  <c r="C50" i="6"/>
  <c r="M9" i="6"/>
  <c r="L2" i="6"/>
  <c r="K2" i="6"/>
  <c r="J2" i="6"/>
  <c r="I2" i="6"/>
  <c r="H2" i="6"/>
  <c r="F7" i="6"/>
  <c r="F5" i="6"/>
  <c r="F4" i="6"/>
  <c r="F3" i="6"/>
  <c r="C41" i="6"/>
  <c r="D43" i="6"/>
  <c r="C43" i="6"/>
  <c r="I111" i="6"/>
  <c r="I112" i="6"/>
  <c r="I113" i="6"/>
  <c r="I114" i="6"/>
  <c r="I115" i="6"/>
  <c r="I116" i="6"/>
  <c r="I117" i="6"/>
  <c r="I118" i="6"/>
  <c r="I119" i="6"/>
  <c r="I120" i="6"/>
  <c r="I121" i="6"/>
  <c r="I122" i="6"/>
  <c r="F6" i="6" l="1"/>
  <c r="G60" i="6"/>
  <c r="G69" i="6"/>
  <c r="G63" i="6"/>
  <c r="G75" i="6"/>
  <c r="G152" i="6"/>
  <c r="C161" i="6"/>
  <c r="V4" i="6" s="1"/>
  <c r="V7" i="6" s="1"/>
  <c r="D161" i="6"/>
  <c r="AA4" i="6"/>
  <c r="AA7" i="6" s="1"/>
  <c r="D42" i="6"/>
  <c r="D40" i="6" s="1"/>
  <c r="G66" i="6"/>
  <c r="G151" i="6"/>
  <c r="G148" i="6"/>
  <c r="G155" i="6"/>
  <c r="G62" i="6"/>
  <c r="J38" i="6" s="1"/>
  <c r="J39" i="6" s="1"/>
  <c r="G153" i="6"/>
  <c r="G150" i="6"/>
  <c r="G147" i="6"/>
  <c r="G64" i="6"/>
  <c r="G61" i="6"/>
  <c r="G157" i="6"/>
  <c r="G73" i="6"/>
  <c r="G67" i="6"/>
  <c r="G71" i="6"/>
  <c r="G158" i="6"/>
  <c r="O6" i="6"/>
  <c r="D4" i="6"/>
  <c r="C7" i="6"/>
  <c r="C3" i="6"/>
  <c r="E7" i="6"/>
  <c r="D3" i="6"/>
  <c r="C5" i="6"/>
  <c r="E4" i="6"/>
  <c r="Q4" i="6" s="1"/>
  <c r="C4" i="6"/>
  <c r="E3" i="6"/>
  <c r="Q3" i="6" s="1"/>
  <c r="E5" i="6"/>
  <c r="Q5" i="6" s="1"/>
  <c r="X4" i="6" l="1"/>
  <c r="X7" i="6" s="1"/>
  <c r="W4" i="6"/>
  <c r="W5" i="6" s="1"/>
  <c r="W8" i="6" s="1"/>
  <c r="P6" i="6"/>
  <c r="Q6" i="6"/>
  <c r="N13" i="6" s="1"/>
  <c r="AA5" i="6"/>
  <c r="V11" i="6"/>
  <c r="V13" i="6" s="1"/>
  <c r="O4" i="6"/>
  <c r="AA11" i="6"/>
  <c r="O5" i="6"/>
  <c r="N5" i="6"/>
  <c r="P5" i="6"/>
  <c r="M12" i="6" s="1"/>
  <c r="V5" i="6"/>
  <c r="V8" i="6" s="1"/>
  <c r="P7" i="6"/>
  <c r="N7" i="6"/>
  <c r="O7" i="6"/>
  <c r="Q7" i="6"/>
  <c r="N14" i="6" s="1"/>
  <c r="K3" i="6"/>
  <c r="L3" i="6"/>
  <c r="J3" i="6"/>
  <c r="I3" i="6"/>
  <c r="N3" i="6"/>
  <c r="P3" i="6"/>
  <c r="M10" i="6" s="1"/>
  <c r="M3" i="6"/>
  <c r="O3" i="6"/>
  <c r="N10" i="6"/>
  <c r="N4" i="6"/>
  <c r="N11" i="6"/>
  <c r="D7" i="6"/>
  <c r="D5" i="6"/>
  <c r="L4" i="6"/>
  <c r="J4" i="6"/>
  <c r="M4" i="6"/>
  <c r="K4" i="6"/>
  <c r="P4" i="6"/>
  <c r="M11" i="6" s="1"/>
  <c r="N12" i="6"/>
  <c r="X5" i="6" l="1"/>
  <c r="X8" i="6" s="1"/>
  <c r="X11" i="6"/>
  <c r="X12" i="6" s="1"/>
  <c r="M13" i="6"/>
  <c r="W11" i="6"/>
  <c r="W14" i="6" s="1"/>
  <c r="R6" i="6"/>
  <c r="W7" i="6"/>
  <c r="X14" i="6"/>
  <c r="X13" i="6"/>
  <c r="V14" i="6"/>
  <c r="V12" i="6"/>
  <c r="M14" i="6"/>
  <c r="R7" i="6" s="1"/>
  <c r="R4" i="6"/>
  <c r="R3" i="6"/>
  <c r="R5" i="6"/>
  <c r="U4" i="6" l="1"/>
  <c r="U7" i="6" s="1"/>
  <c r="W13" i="6"/>
  <c r="W12" i="6"/>
  <c r="U11" i="6" l="1"/>
  <c r="U12" i="6" s="1"/>
  <c r="U5" i="6"/>
  <c r="U8" i="6" s="1"/>
  <c r="AB28" i="6"/>
  <c r="U14" i="6" l="1"/>
  <c r="U13" i="6"/>
  <c r="C18" i="6" l="1"/>
  <c r="D18" i="6"/>
  <c r="X40" i="6" s="1"/>
  <c r="D34" i="6" s="1"/>
  <c r="U6" i="6"/>
  <c r="U10" i="6"/>
  <c r="U9" i="6"/>
  <c r="E18" i="6" l="1"/>
  <c r="J43" i="6" s="1"/>
  <c r="AA8" i="6" s="1"/>
  <c r="X20" i="6"/>
  <c r="C34" i="6" s="1"/>
  <c r="E34" i="6" s="1"/>
  <c r="F18" i="6"/>
  <c r="G18" i="6"/>
  <c r="Y4" i="6"/>
  <c r="AA12" i="6" l="1"/>
  <c r="X46" i="6"/>
  <c r="AA13" i="6"/>
  <c r="F34" i="6"/>
  <c r="J22" i="6" s="1"/>
  <c r="U21" i="6" s="1"/>
  <c r="AA14" i="6"/>
  <c r="G34" i="6"/>
  <c r="Z4" i="6"/>
  <c r="AB4" i="6"/>
  <c r="Y12" i="6"/>
  <c r="V9" i="6"/>
  <c r="Y5" i="6"/>
  <c r="Y9" i="6"/>
  <c r="Y10" i="6"/>
  <c r="Y11" i="6"/>
  <c r="Y7" i="6"/>
  <c r="W9" i="6" l="1"/>
  <c r="Z7" i="6"/>
  <c r="Z11" i="6"/>
  <c r="Z5" i="6"/>
  <c r="Z10" i="6"/>
  <c r="Z12" i="6"/>
  <c r="Z9" i="6"/>
  <c r="AB11" i="6"/>
  <c r="AB5" i="6"/>
  <c r="AB9" i="6"/>
  <c r="AB7" i="6"/>
  <c r="AA9" i="6"/>
  <c r="AA10" i="6"/>
  <c r="AA6" i="6"/>
  <c r="X9" i="6"/>
  <c r="Y13" i="6"/>
  <c r="Y14" i="6"/>
  <c r="X6" i="6"/>
  <c r="Y8" i="6"/>
  <c r="V10" i="6"/>
  <c r="V6" i="6"/>
  <c r="Y6" i="6"/>
  <c r="W6" i="6"/>
  <c r="X10" i="6"/>
  <c r="W10" i="6"/>
  <c r="AB10" i="6" l="1"/>
  <c r="AB14" i="6"/>
  <c r="AB13" i="6"/>
  <c r="Z8" i="6"/>
  <c r="Z6" i="6"/>
  <c r="Z13" i="6"/>
  <c r="Z14" i="6"/>
  <c r="AB12" i="6"/>
  <c r="AB8" i="6"/>
  <c r="AB6" i="6"/>
</calcChain>
</file>

<file path=xl/comments1.xml><?xml version="1.0" encoding="utf-8"?>
<comments xmlns="http://schemas.openxmlformats.org/spreadsheetml/2006/main">
  <authors>
    <author>Meißner, Rolf</author>
  </authors>
  <commentList>
    <comment ref="T2" authorId="0">
      <text>
        <r>
          <rPr>
            <b/>
            <sz val="9"/>
            <color indexed="81"/>
            <rFont val="Tahoma"/>
            <family val="2"/>
          </rPr>
          <t>Erläuterungen zum MAP-Rechner 2015 für Solarthermie</t>
        </r>
        <r>
          <rPr>
            <sz val="9"/>
            <color indexed="81"/>
            <rFont val="Tahoma"/>
            <family val="2"/>
          </rPr>
          <t xml:space="preserve">
Das MAP für Solarthermie ist sehr komplex. Dieses kleine Programm wurde erstellt, um die Dynamik, die vielen Abhängigkeiten und die Auswirkung des neuen MAP (BAFA und KfW) besser zu verstehen. Der Rechner erfasst die gesamte Solarthermieförderung von 3 m³ bis zu beliebig großen Solaranlagen, ausgenommen Luftkollektoren.
Man kann unter 14 typischen Kollektor-Kategorien einen Referenzkollektor auswählen oder mit „Kollektor selbst gewählt“ einen eigenen Referenzkollektor definieren, indem in Zelle X19 dessen Solar-Keymark-Jahresertrag pro m² Bruttofläche für Würzburg bei 50 °C (SKW50) und in Zelle X39 der Ertrag für 75 °C (SKW75) eingegeben wird. Man muss per Wahlschalter (T18) zusätzlich angeben, ob es ein Flach- oder ein Röhrenkollektor ist. Die Tabellenspalten U, V, W und X liefern dann für diesen Kollektor alle möglichen Förderarten und ihre Ergebnisse im Vergleich.
Möchte man einen Vergleich mit einen anderen Kollektor oder Kollektortyp, kann man dazu unter denselben 14 typischen Kollektor-Kategorien auswählen. Zusätzlich kann man in den Zellen X20 und X40 bei Bedarf die als Standard hinterlegten SKW50- und SKW75 Daten mit konkreten Vergleichs-Solar-Keymark-Ertragsdaten überschreiben. Die Spalten Y bis AA liefern den Vergleich. 
Die Solar-Keymark-Erträge für 75 °C (SKW75) werden für die Wirtschaftlichkeitsvergleiche (WV) in den Zeilen 11 bis 14 benötigt. Der Kollektor-Jahresertrag (ACO) verhält sich bei mittleren Kollektortemperaturen zwischen 40 °C und 95 °C nahezu linear zur mittleren Kollektortemperatur. Aus den SKW50- und SKW75-Werten können also die Jahreserträge für jede mittlere Kollektortemperatur recht genau extrapoliert werden. Dabei kann der WV auch nicht nur für die Kollektorerträge durchgeführt werden, sondern auch für die Systemerträge. Dazu gibt man in Zelle X43 die Verluste pro Grad mittlerer Kollektortemperatur (über 20 °C) an. Ein Kommentar gibt dafür Anhaltswerte, weil sich unter den „Verlusten pro Grad mittlerer Kollektortemperatur ab 15 °C“ nicht jeder gleich eine Zahl vorstellen kann. Diese Verluste beziehen sich nicht auf den Ertrag, sondern auf die Einstrahlung in Würzburg (1244 kWh/m²a), weil sie bei jedem gleichen System für unterschiedliche Kollektoren etwa gleich sind. Gibt man keine Verluste ein, wir der Kollektorertrag nach Solar-Keymark berechnet bzw. verglichen.
In Zelle X46 werden die Systemerträge für den Referenz- und für den Vergleichskollektor explizit ausgewiesen.
Es ist ganz wichtig, dass sowohl für den Referenzkollektor als auch für den Vergleichskollektor immer auch die Gesamt-Investitionskosten der Solaranlage eingegeben werden. Das wird nicht nur für den WV gebraucht, sondern auch für die KfW-Förderung und für die Kappung der ertragsorientierten Förderung (nach AGVO). Die MAP-Förderungen werden über die AGVO gekappt, wenn der Antragsteller ein Unternehmen ist. Kommunen unterliegen nicht dem europäischen Beihilferecht und damit nicht der AGVO. Das AGVO-Limit kann gewählt werden. Bei Prozesswärme stellen sich automatisch mindestens 50 % (bzw. bei KMU + KfW 55 %) ein. Das AGVO-Limit kann ganz ausgeschaltet werden, indem es auf „individuell“ gestellt und AGVO (Zelle X26) auf 100 % gestellt wird. Dann wird besonders deutlich, was ertragsorientierte Förderung mit sehr guten Kollektoren bringen könnte.
Zum besseren Verständnis und als Eingabehilfe sind zahlreiche Kommentare eingefügt.
</t>
        </r>
        <r>
          <rPr>
            <b/>
            <sz val="9"/>
            <color indexed="81"/>
            <rFont val="Tahoma"/>
            <family val="2"/>
          </rPr>
          <t>Übergangsvorschriften</t>
        </r>
        <r>
          <rPr>
            <sz val="9"/>
            <color indexed="81"/>
            <rFont val="Tahoma"/>
            <family val="2"/>
          </rPr>
          <t xml:space="preserve">
Für die Anwendbarkeit dieser Richtlinien ist der Zeitpunkt der Antragstellung entscheidend. Für Förderanträge, die vor Inkrafttreten dieser Richtlinien gestellt wurden, gilt die vor Inkrafttreten dieser Richtlinien geltende Fassung, auch wenn die Entscheidung der Bewilligungsstelle erst nach Inkrafttreten dieser Richtlinien erfolgt. Eine Rücknahme von bereits gestellten Anträgen mit der Absicht, die Förderung nach diesen Richtlinien in
Anspruch nehmen zu können, ist nicht zulässig. Für Anlagen, die vor Inkrafttreten dieser Richtlinien errichtet wurden, der Antrag auf Förderung dieser Anlagen aber erst nach Inkrafttreten der Richtlinien gestellt wurde, gilt die jeweils günstigere Fassung.
Die Richtlinien werden im Bundesanzeiger (www.bundesanzeiger.de) veröffentlicht und ergehen im Anschluss an die Richtlinien vom 20. Juli 2012 (eBAnz AT 08.08.2012 B4), zuletzt geändert am 01.12.2014. Änderungen werden vorbehalten.
Qualifizierte Energieberater in der Nähe können über die "Energieeffizienz Expertenliste für Förderprogramme des Bundes“ (www.energie-effizienz-experten.de) gefunden werden.
</t>
        </r>
        <r>
          <rPr>
            <b/>
            <sz val="9"/>
            <color indexed="81"/>
            <rFont val="Tahoma"/>
            <family val="2"/>
          </rPr>
          <t>Ergänzungen 2016</t>
        </r>
        <r>
          <rPr>
            <sz val="9"/>
            <color indexed="81"/>
            <rFont val="Tahoma"/>
            <family val="2"/>
          </rPr>
          <t xml:space="preserve">
Seit Januar 2016 gilt ergänzend dazu das Anreizprogramm Energieeffizienz (APEE). Es besteht aus einer Anhebung der Förderung der Solaranlage um weitere 20 % bei der Ersetzung bzw. solarthermischen Modernisierung einer ineffizienten Altanlage und/oder aus einem Pauschalbetrag von 600 € für Optimierungen am Heizsystem. APEE ist nicht kummulierbar mit dem bisherigen Bonus für eine Optimierung der Heizungsanlage. Da der Dokumentationsaufwand für APEE jedoch viel geringer und der Förderbetrag viel höher ist, wird die Förderung für Optimierungen am Heizsystem von APEE praktisch abgelöst.
</t>
        </r>
      </text>
    </comment>
    <comment ref="U2" authorId="0">
      <text>
        <r>
          <rPr>
            <b/>
            <sz val="9"/>
            <color indexed="81"/>
            <rFont val="Tahoma"/>
            <family val="2"/>
          </rPr>
          <t xml:space="preserve">Kumulierung, Höhe der Förderung
</t>
        </r>
        <r>
          <rPr>
            <sz val="9"/>
            <color indexed="81"/>
            <rFont val="Tahoma"/>
            <family val="2"/>
          </rPr>
          <t>1) Die Förderungen nach diesen Richtlinien sind untereinander kumulierbar, sofern im Einzelnen andere Regelungen nicht getroffen wurden. Eine Kumulierung mit anderen öffentlichen Förderungen ist zulässig, sofern im Einzelnen andere Regelungen nicht getroffen wurden.
2) Die Förderung nach diesen Richtlinien ist mit einer Förderung aus den im Rahmen des CO2-Gebäude-sanierungsprogramms aufgelegten KfW-Programmen nur bei folgenden KfW-Programmen kumulierbar: „Energieeffizient Bauen“ (Programmnummer 153), „Energieeffizient Sanieren – Ergänzungskredit“ (Programmnummer 167).
3) Bei Maßnahmen, die nach Nr. IV. in Form von Investitionszuschüssen über das BAFA gefördert werden, darf die Gesamtförderung höchstens das Doppelte des nach diesen Richtlinien gewährten Förderbetrages betragen (insbesondere bei Inanspruchnahme ergänzender Förderprogramme der Bundesländer). Für den Fall, dass diese Höchstgrenze überschritten würde, werden die Fördermittel des Bundes auf die vorstehende Förderhöchstgrenze gekürzt.
4) Die Gesamtförderung der nach Maßgabe dieser Richtlinien gewährten Förderung darf bei sämtlichen Maßnahmen die zulässigen maximalen Beihilfeintensitäten der Europäischen Union (insbesondere nach den jeweils einschlägigen Regelungen der AGVO) nicht überschreiten. Die Berechnung der Beihilfeintensitäten erfolgt gemäß der entsprechenden BAFA- bzw. KfW-Formblätter.</t>
        </r>
      </text>
    </comment>
    <comment ref="U3" authorId="0">
      <text>
        <r>
          <rPr>
            <b/>
            <sz val="9"/>
            <color indexed="81"/>
            <rFont val="Tahoma"/>
            <family val="2"/>
          </rPr>
          <t>Zuständigkeit, Anschrift</t>
        </r>
        <r>
          <rPr>
            <sz val="9"/>
            <color indexed="81"/>
            <rFont val="Tahoma"/>
            <family val="2"/>
          </rPr>
          <t xml:space="preserve">
Zuständig für die Bewilligung ist das Bundesamt für Wirtschaft und Ausfuhrkontrolle (BAFA)
Frankfurter Straße 29-35
65760 Eschborn oder
Postfach 51 60
65726 Eschborn
Telefon: (06196) 908 1625</t>
        </r>
      </text>
    </comment>
    <comment ref="V3" authorId="0">
      <text>
        <r>
          <rPr>
            <b/>
            <sz val="9"/>
            <color indexed="81"/>
            <rFont val="Tahoma"/>
            <family val="2"/>
          </rPr>
          <t xml:space="preserve">BAFA-Förderung, </t>
        </r>
        <r>
          <rPr>
            <sz val="9"/>
            <color indexed="81"/>
            <rFont val="Tahoma"/>
            <family val="2"/>
          </rPr>
          <t xml:space="preserve">ertragsorientiert
</t>
        </r>
      </text>
    </comment>
    <comment ref="W3" authorId="0">
      <text>
        <r>
          <rPr>
            <sz val="9"/>
            <color indexed="81"/>
            <rFont val="Tahoma"/>
            <family val="2"/>
          </rPr>
          <t>Für die Förderung im Rahmen des KfW-Programms Erneuerbare Energien (Programmteil Premium) gilt: Mit dem Vorhaben darf vor Antragstellung nicht begonnen werden. Als Vorhabens-beginn gilt der Abschluss eines der Ausführung uzurechnenden Lieferungs- oder Leistungsvertrages. Planungsleistungen dürfen vor Antrags-tellung erbracht werden, notwendige Reser-vierungen von Geräten, Investitionsgütern oder Dienstleis-tungen sind erlaubt. Zusätzlich gelten die Regelungen der KfW.</t>
        </r>
      </text>
    </comment>
    <comment ref="X3" authorId="0">
      <text>
        <r>
          <rPr>
            <b/>
            <sz val="9"/>
            <color indexed="81"/>
            <rFont val="Tahoma"/>
            <family val="2"/>
          </rPr>
          <t xml:space="preserve">KfW-Förderung, </t>
        </r>
        <r>
          <rPr>
            <sz val="9"/>
            <color indexed="81"/>
            <rFont val="Tahoma"/>
            <family val="2"/>
          </rPr>
          <t>ertragsorientiert</t>
        </r>
        <r>
          <rPr>
            <b/>
            <sz val="9"/>
            <color indexed="81"/>
            <rFont val="Tahoma"/>
            <family val="2"/>
          </rPr>
          <t xml:space="preserve">
</t>
        </r>
        <r>
          <rPr>
            <sz val="9"/>
            <color indexed="81"/>
            <rFont val="Tahoma"/>
            <family val="2"/>
          </rPr>
          <t xml:space="preserve">
</t>
        </r>
      </text>
    </comment>
    <comment ref="T12" authorId="0">
      <text>
        <r>
          <rPr>
            <sz val="9"/>
            <color indexed="81"/>
            <rFont val="Tahoma"/>
            <family val="2"/>
          </rPr>
          <t xml:space="preserve">Ohne Berücksichtigung von Betriebskosten, Wartung und Instandhaltung, Verzinsung, Inflation
</t>
        </r>
      </text>
    </comment>
    <comment ref="T16" authorId="0">
      <text>
        <r>
          <rPr>
            <sz val="9"/>
            <color indexed="81"/>
            <rFont val="Tahoma"/>
            <family val="2"/>
          </rPr>
          <t xml:space="preserve">Folgende Wärmenutzungen werden anerkannt:
a) Die Beheizung, Warmwasserbereitstellung oder Kühlung von Gebäuden im Sinne von § 1 Absatz 1 Nummer 1 der Energieeinsparverordnung bei einem Wärmeeinsatz von 200 Kilowattstunden pro Quadratmeter Nutzfläche im Jahr, auch wenn der Wärmeeinsatz insgesamt 200 Kilowattstunden pro Quadratmeter Nutzfläche im Jahr übersteigt, 
b) die Wärmeeinspeisung in ein Netz mit einer Länge von mindestens 400 Metern; bei der Wärmeeinspeisung werden als Verluste durch die Wärmeverteilung oder Wärmeübergabe höchstens durchschnittliche Verluste von 25 Prozent des Nutzwärmebedarfs der Wärmekundinnen oder Wärmekunden in jedem Kalenderjahr anerkannt,
c) die Nutzung als Prozesswärme für
aa) industrielle Prozesse im Sinne der Nummern 2 bis 6, 7.2 bis 7.34 sowie 10.1 bis 10.10, 10.20 bis 10.23 der Anlage zur Vierten Verordnung zur Durchführung des Bundes-Immissionsschutzgesetzes
bb) die Trocknung von Holz zur stofflichen oder energetischen Nutzung bis zu einem Wärmeeinsatz von 0,9 Kilowatt-stunden je Kilogramm Holz, 
d) die Beheizung von Betriebsgebäuden für die Geflügelaufzucht, wenn die Voraussetzungen nach Nummer 1 Buchstabe c erfüllt werden,
e) die Beheizung von Tierställen mit folgenden Obergrenzen pro Kalenderjahr:
aa) Geflügelmast: 5 Kilowattstunden pro Tierplatz,
bb) Sauenhaltung: 350 Kilowattstunden pro Tierplatz,
cc) Ferkelaufzucht: 75 Kilowattstunden pro Tierplatz,
dd) Schweinemast: 45 Kilowattstunden pro Tierplatz,
f) die Beheizung von Unterglasanlagen für die Aufzucht und Vermehrung von Pflanzen, wenn die Voraussetzungen nach Nummer 1 Buchstabe c erfüllt sind.
</t>
        </r>
      </text>
    </comment>
    <comment ref="AA16" authorId="0">
      <text>
        <r>
          <rPr>
            <sz val="9"/>
            <color indexed="81"/>
            <rFont val="Tahoma"/>
            <family val="2"/>
          </rPr>
          <t>Aperturfläche nur angeben, wenn "Referenzkollektor selbst definiert" gilt, sonst und wenn unbekannt "0" eingeben oder löschen</t>
        </r>
      </text>
    </comment>
    <comment ref="T18" authorId="0">
      <text>
        <r>
          <rPr>
            <sz val="9"/>
            <color indexed="81"/>
            <rFont val="Tahoma"/>
            <family val="2"/>
          </rPr>
          <t>Kollektorauswahl aus dem SDH-Poster von S. Fischer, ITW Stuttgart: Comparison of Thermal Perfor- mance of Different Solar Collector Technologies ... Based on Solar Keymark Certificates and SCEnOCalc, Poster SDH Hamburg (2014),
ergänzt um 6 weitere Kollektorbauarten
oder individuelle Kollektorwahl</t>
        </r>
      </text>
    </comment>
    <comment ref="W18" authorId="0">
      <text>
        <r>
          <rPr>
            <sz val="9"/>
            <color indexed="81"/>
            <rFont val="Tahoma"/>
            <family val="2"/>
          </rPr>
          <t xml:space="preserve">FK oder VRK ist nur bei selbst definiertem Kollektor wählbar.
</t>
        </r>
      </text>
    </comment>
    <comment ref="AB18" authorId="0">
      <text>
        <r>
          <rPr>
            <sz val="9"/>
            <color indexed="81"/>
            <rFont val="Tahoma"/>
            <family val="2"/>
          </rPr>
          <t xml:space="preserve">Bei individueller Eingabe von SKW50 (Solar-Keymark-Ertrag in Würzburg bei 50 °C) muss weiter unten immer auch SKW75 angegeben werden!
</t>
        </r>
      </text>
    </comment>
    <comment ref="T20" authorId="0">
      <text>
        <r>
          <rPr>
            <sz val="9"/>
            <color indexed="81"/>
            <rFont val="Tahoma"/>
            <family val="2"/>
          </rPr>
          <t xml:space="preserve">Kollektorauswahl aus dem SDH-Poster von S. Fischer, ITW Stuttgart: Comparison of Thermal Perfor- mance of Different Solar Collector Technologies ... Based on Solar Keymark Certificates and SCEnOCalc, Poster SDH Hamburg (2014),
ergänzt um 6 weitere Kollektorbauarten.
Die SKW50- und SKW75-Werte können auch individuell eingegeben werden. </t>
        </r>
      </text>
    </comment>
    <comment ref="AB20" authorId="0">
      <text>
        <r>
          <rPr>
            <sz val="9"/>
            <color indexed="81"/>
            <rFont val="Tahoma"/>
            <family val="2"/>
          </rPr>
          <t xml:space="preserve">Bei individueller Eingabe von SKW50 (Solar-Keymark-Ertrag in Würzburg bei 50 °C) muss weiter unten immer auch SKW75 angegeben werden!
</t>
        </r>
      </text>
    </comment>
    <comment ref="T24" authorId="0">
      <text>
        <r>
          <rPr>
            <sz val="9"/>
            <color indexed="81"/>
            <rFont val="Tahoma"/>
            <family val="2"/>
          </rPr>
          <t xml:space="preserve">Große Solarkollektoranlagen müssen eine Mindestbruttokollektorfläche von 20 m² bis 100 m² aufweisen. Die Förderung von Anlagen ab 40 m² kann alternativ als KfWFörderung erfolgen. Die Förderung ist möglich für:
a) </t>
        </r>
        <r>
          <rPr>
            <b/>
            <sz val="9"/>
            <color indexed="81"/>
            <rFont val="Tahoma"/>
            <family val="2"/>
          </rPr>
          <t xml:space="preserve">MFH u. ä.: </t>
        </r>
        <r>
          <rPr>
            <sz val="9"/>
            <color indexed="81"/>
            <rFont val="Tahoma"/>
            <family val="2"/>
          </rPr>
          <t xml:space="preserve">Solarkollektoranlagen, deren gelieferte Wärme effektiv der Raumheizung oder Warmwassererwärmung bei Wohnge-bäuden mit mindestens drei Wohneinheiten oder bei Nichtwohngebäuden mit mindestens 500 m² Nutzfläche10 dient oder
b) </t>
        </r>
        <r>
          <rPr>
            <b/>
            <sz val="9"/>
            <color indexed="81"/>
            <rFont val="Tahoma"/>
            <family val="2"/>
          </rPr>
          <t xml:space="preserve">50+ Häuser: </t>
        </r>
        <r>
          <rPr>
            <sz val="9"/>
            <color indexed="81"/>
            <rFont val="Tahoma"/>
            <family val="2"/>
          </rPr>
          <t xml:space="preserve">Solarkollektoranlagen zur Raumheizung und Warmwasserbereitung mit einem solaren Deckungsgrad von mindestens 50 Prozent in Gebäuden, in denen der auf die wärmeübertragende Umfassungsfläche bezogene Transmissionswärme-verlust das 0,7-fache des entsprechenden Wertes des jeweiligen Referenzgebäudes nicht überschritten wird. Die Höchstwerte der EnEV 2013, Anlage 1 Tabelle 2 dürfen nicht überschritten werden.
c) Solarkollektoranlagen zur solaren </t>
        </r>
        <r>
          <rPr>
            <b/>
            <sz val="9"/>
            <color indexed="81"/>
            <rFont val="Tahoma"/>
            <family val="2"/>
          </rPr>
          <t>Kälteerzeugung</t>
        </r>
        <r>
          <rPr>
            <sz val="9"/>
            <color indexed="81"/>
            <rFont val="Tahoma"/>
            <family val="2"/>
          </rPr>
          <t xml:space="preserve"> (einschließlich Prozesskälte) oder zur überwiegenden Zuführung von Wärme in ein </t>
        </r>
        <r>
          <rPr>
            <b/>
            <sz val="9"/>
            <color indexed="81"/>
            <rFont val="Tahoma"/>
            <family val="2"/>
          </rPr>
          <t>Wärmenetz</t>
        </r>
        <r>
          <rPr>
            <sz val="9"/>
            <color indexed="81"/>
            <rFont val="Tahoma"/>
            <family val="2"/>
          </rPr>
          <t xml:space="preserve">.
</t>
        </r>
        <r>
          <rPr>
            <b/>
            <sz val="9"/>
            <color indexed="81"/>
            <rFont val="Tahoma"/>
            <family val="2"/>
          </rPr>
          <t>Bei a) und b)</t>
        </r>
        <r>
          <rPr>
            <sz val="9"/>
            <color indexed="81"/>
            <rFont val="Tahoma"/>
            <family val="2"/>
          </rPr>
          <t xml:space="preserve"> sind folgende Voraussetzungen einzuhalten:
Die Auslegung der großen Solarkollektoranlagen muss durch Systemsimulation erfolgt sein. Der durch die Simulation berechnete Kollektorwärmeertrag muss bei Wohngebäuden mit mindestens drei Wohneinheiten und bei Nichtwohn-gebäuden mit mindestens 500 m² Nutzfläche</t>
        </r>
        <r>
          <rPr>
            <b/>
            <sz val="9"/>
            <color indexed="81"/>
            <rFont val="Tahoma"/>
            <family val="2"/>
          </rPr>
          <t xml:space="preserve"> mindestens 300 kWh/(m²a)</t>
        </r>
        <r>
          <rPr>
            <sz val="9"/>
            <color indexed="81"/>
            <rFont val="Tahoma"/>
            <family val="2"/>
          </rPr>
          <t>, bei Trinkwasseranlagen 350 kWh/(m²a)
betragen.</t>
        </r>
      </text>
    </comment>
    <comment ref="T26" authorId="0">
      <text>
        <r>
          <rPr>
            <b/>
            <sz val="9"/>
            <color indexed="81"/>
            <rFont val="Tahoma"/>
            <family val="2"/>
          </rPr>
          <t xml:space="preserve">Die Allgemeine Gruppenfreistellungsverordnung (AGVO) 
</t>
        </r>
        <r>
          <rPr>
            <sz val="9"/>
            <color indexed="81"/>
            <rFont val="Tahoma"/>
            <family val="2"/>
          </rPr>
          <t xml:space="preserve">regelt die Förderhöchstgrenzen nach EU-Recht.
Es ist noch ungeklärt ist (Stand 06/15), ob die AGVO-Grenzen in Fördergebieten angewendet werden.
Die genannten Grenzen für Sonderfördergebiete gelten auch im Falle ihrer Anwendung nur für bestimmte Fördergebiete in Deutschland (neue Bundesländer und Berlin). 
Darüber hinaus gibt es noch weitere anerkannte Fördergebiete mit niedrigeren Fördersätzen
</t>
        </r>
      </text>
    </comment>
    <comment ref="AB26" authorId="0">
      <text>
        <r>
          <rPr>
            <b/>
            <sz val="9"/>
            <color indexed="81"/>
            <rFont val="Tahoma"/>
            <family val="2"/>
          </rPr>
          <t xml:space="preserve">Die AGVO (Allgemeine 
Gruppenfreistellungsverordnung) 
</t>
        </r>
        <r>
          <rPr>
            <sz val="9"/>
            <color indexed="81"/>
            <rFont val="Tahoma"/>
            <family val="2"/>
          </rPr>
          <t xml:space="preserve">regelt die Förderhöchstgrenzen nach EU-Recht und gilt für antragstellende Unternehmen. 
Sie gilt nicht für Kommunen.
</t>
        </r>
      </text>
    </comment>
    <comment ref="T28" authorId="0">
      <text>
        <r>
          <rPr>
            <b/>
            <sz val="9"/>
            <color indexed="81"/>
            <rFont val="Tahoma"/>
            <family val="2"/>
          </rPr>
          <t>Gebäudeeffizienzbonus</t>
        </r>
        <r>
          <rPr>
            <sz val="9"/>
            <color indexed="81"/>
            <rFont val="Tahoma"/>
            <family val="2"/>
          </rPr>
          <t xml:space="preserve">
Wenn im Fördertatbestand vorgesehen, kann – außer im Neubau und bei Nichtwohngebäuden ein Gebäude-Effizienzbonus in Höhe von bis zu 50 % der jeweiligen Basisförderung bzw. Innovationsförderung gewährt werden, wenn die Anlage in einem effizienten Wohngebäude errichtet wird. Effizient im Sinne dieser Vorschrift sind Wohngebäude, die die Anforderungen an ein KfW-Effizienzhaus 55 erfüllen (Programmnummern 151/152). Dazu zählen
− der auf die wärmeübertragende Umfassungsfläche bezogene Transmissionswärmeverlust beträgt maximal das 0,7-Fache des entsprechenden Wertes des jeweiligen Referenzgebäudes. Die Höchstwerte der EnEV 2013, Anlage 1 Tabelle 2 dürfen nicht überschritten werden;
− der hydraulische Abgleich und die gebäudebezogene Anpassung der Heizkurve wurden vorgenommen und
− weitere Anforderungen gemäß der Technischen Mindestanforderungen der KfW
(https://www.kfw.de/PDF/Download-Center/Förderprogramme-(Inlandsförderung)/PDF-Dokumente/6000003071_M_Anlage_151_152_430.pdf.).
</t>
        </r>
        <r>
          <rPr>
            <b/>
            <i/>
            <sz val="9"/>
            <color indexed="81"/>
            <rFont val="Tahoma"/>
            <family val="2"/>
          </rPr>
          <t>Es sind die zur KfW-Förderung notwendigen Online-Bestätigungen eines zugelassenen
Sachverständigen vorzulegen.</t>
        </r>
      </text>
    </comment>
    <comment ref="AB28" authorId="0">
      <text>
        <r>
          <rPr>
            <sz val="9"/>
            <color indexed="81"/>
            <rFont val="Tahoma"/>
            <family val="2"/>
          </rPr>
          <t>Gilt nur für die Basisförderung über  BAFA-Flächenförderung oder ertragsorientiert (eBAFA) bis 40 m².</t>
        </r>
      </text>
    </comment>
    <comment ref="T30" authorId="0">
      <text>
        <r>
          <rPr>
            <sz val="9"/>
            <color indexed="81"/>
            <rFont val="Tahoma"/>
            <family val="2"/>
          </rPr>
          <t>Sofern die Errichtung der Anlage auch dem Betrieb eines kleinen oder mittleren Unternehmens gemäß der Definition in Anhang I der AGVO dient, kann der Förderbetrag in den Fällen des Abschnitts V (Förderung durch das KfW-Programm Erneuerbare Energien, Programmteil Premium) für kleine und mittlere Unternehmen um 10 Prozent des gesamten Zuwendungsbetrags erhöht werden.</t>
        </r>
      </text>
    </comment>
    <comment ref="T32" authorId="0">
      <text>
        <r>
          <rPr>
            <sz val="9"/>
            <color indexed="81"/>
            <rFont val="Tahoma"/>
            <family val="2"/>
          </rPr>
          <t xml:space="preserve">Richtlinie zur Förderung der beschleunigten Modernisierung von Heizungsanlagen bei Nutzung erneuerbarer Energien Anreizprogramm Energieeffizienz (APEE) Heizungspaket, erneuerbare Energien vom 16. Dezember 2015,
veröffentlicht am 30. Dezember 2015, BAnz AT 30.12.2015 B1
Der Zusatzbonus wird gewährt für die Kombination des Heizungsaustauschs mit der Optimierung des gesamten Heizungs-systems. Für die Ersetzung bzw. solarthermische Modernisierung einer ineffizienten Altanlage wird ein Betrag von 20 % des im Rahmen der MAP-Richtlinie für die Installation der neuen Anlage gewährten Gesamtförderbetrags (ohne Optimierungs-bonus) gewährt. Für die Umsetzung aller erforderlichen Maßnahmen zur Verbesserung der Energieeffizienz am gesamten Heizungssystem kann zusätzlich pauschal ein einmaliger Investitionszuschuss von 600 € gewährt werden. Die Summe aus beiden Teilbeträgen ergibt zusammen den maximalen Zusatzbonus nach dieser Richtlinie.
</t>
        </r>
        <r>
          <rPr>
            <b/>
            <sz val="9"/>
            <color indexed="81"/>
            <rFont val="Tahoma"/>
            <family val="2"/>
          </rPr>
          <t xml:space="preserve">
Der Zusatzbonus ist nicht kumulierbar mit dem Optimierungsbonus nach den MAP-Richtlinien.
</t>
        </r>
        <r>
          <rPr>
            <b/>
            <u/>
            <sz val="10"/>
            <color indexed="81"/>
            <rFont val="Tahoma"/>
            <family val="2"/>
          </rPr>
          <t>Der MAP-Rechner kann nicht entscheiden, welcher APEE-Zuschlag Berechtigung hat. 
Deshalb muss dies der Bediener selbst wählen.</t>
        </r>
      </text>
    </comment>
    <comment ref="X32" authorId="0">
      <text>
        <r>
          <rPr>
            <b/>
            <sz val="9"/>
            <color indexed="81"/>
            <rFont val="Tahoma"/>
            <family val="2"/>
          </rPr>
          <t>Richtwerte (Vollkosten der Anlage)</t>
        </r>
        <r>
          <rPr>
            <sz val="9"/>
            <color indexed="81"/>
            <rFont val="Tahoma"/>
            <family val="2"/>
          </rPr>
          <t xml:space="preserve">
Biomasse          6 Cent/kWh
Gas                   6 Cent/kWh
Öl                      7 Cent/kWh
Flüssiggas         8 Cent/kWh
Fernwärme       9 Cent/kWh
Strom mit WP  12 Cent/kWh</t>
        </r>
      </text>
    </comment>
    <comment ref="X36" authorId="0">
      <text>
        <r>
          <rPr>
            <b/>
            <sz val="9"/>
            <color indexed="81"/>
            <rFont val="Tahoma"/>
            <family val="2"/>
          </rPr>
          <t>Richtwerte mittlere Kollektortemperatur</t>
        </r>
        <r>
          <rPr>
            <sz val="9"/>
            <color indexed="81"/>
            <rFont val="Tahoma"/>
            <family val="2"/>
          </rPr>
          <t xml:space="preserve">
Warmwasser-Vorwärmung                     40 °C
Warmwasser:                                                   55 °C
Warmwasser mit Legionellenschutz:    65 °C
Warmwasser und Heizen:                         65 °C
Solare Netzwärme in Deutschland:   75...85 °C
Solare Netzwärme in Dänemark:          55 °C
Solares Kühlen:                                              85 °C
</t>
        </r>
        <r>
          <rPr>
            <b/>
            <i/>
            <sz val="9"/>
            <color indexed="81"/>
            <rFont val="Tahoma"/>
            <family val="2"/>
          </rPr>
          <t>Die mittleren Kollektortemperaturen erhöhen sich mit jedem zusätzlich notwendigen Wärmetausch!</t>
        </r>
        <r>
          <rPr>
            <sz val="9"/>
            <color indexed="81"/>
            <rFont val="Tahoma"/>
            <family val="2"/>
          </rPr>
          <t xml:space="preserve">
 </t>
        </r>
      </text>
    </comment>
    <comment ref="AB38" authorId="0">
      <text>
        <r>
          <rPr>
            <sz val="9"/>
            <color indexed="81"/>
            <rFont val="Tahoma"/>
            <family val="2"/>
          </rPr>
          <t xml:space="preserve">Bei individueller Eingabe von SKW75 (Solar-Keymark-Ertrag in Würzburg bei 75 °C) muss weiter oben immer auch SKW75 angegeben werden!
</t>
        </r>
      </text>
    </comment>
    <comment ref="T40" authorId="0">
      <text>
        <r>
          <rPr>
            <sz val="9"/>
            <color indexed="81"/>
            <rFont val="Tahoma"/>
            <family val="2"/>
          </rPr>
          <t xml:space="preserve">Für Optimierungsmaßnahmen im Zusammenhang mit der gleichzeitigen Errichtung einer Solarkollektoranlage, deren Förderung ebenfalls bewilligt wird, kann einmalig ein Investitionszuschuss bis höchstens 10 % der förderfähigen Investitionskosten und höchstens 50 % der derzeit geltenden Basisförderung für die Solarkollektoranlage gewährt werden.
Förderfähig sind Maßnahmen, die in Anhang I genannt sind. Bei der Förderung nicht berücksichtigt werden können:
− Maßnahmen, deren Durchführung Voraussetzung für die Förderbarkeit der Solarkollektoranlage ist, und
− die Investitionskosten für die bereits nach anderen Tatbeständen dieser Richtlinien
geförderten Anlagen (Solarkollektoranlage, ggf. Heizkessel). Die Investitionskosten
für diese Anlagen sind aber in der Rechnung nachzuweisen.
</t>
        </r>
        <r>
          <rPr>
            <b/>
            <sz val="9"/>
            <color indexed="81"/>
            <rFont val="Tahoma"/>
            <family val="2"/>
          </rPr>
          <t>nicht kummulierbar mit Anreizprogramm Energieeffizienz, 
wird deshalb von diesem praktisch ersetzt und sollte ab 2016 auf "nein" stehen</t>
        </r>
      </text>
    </comment>
    <comment ref="AB40" authorId="0">
      <text>
        <r>
          <rPr>
            <sz val="9"/>
            <color indexed="81"/>
            <rFont val="Tahoma"/>
            <family val="2"/>
          </rPr>
          <t>Bei individueller Eingabe von SKW75 (Solar-Keymark-Ertrag in Würzburg bei 75 °C) muss weiter oben immer auch SKW75 angegeben werden!</t>
        </r>
      </text>
    </comment>
    <comment ref="T43" authorId="0">
      <text>
        <r>
          <rPr>
            <b/>
            <sz val="9"/>
            <color indexed="81"/>
            <rFont val="Tahoma"/>
            <family val="2"/>
          </rPr>
          <t xml:space="preserve">Optimierung einer bestehenden Anlage
</t>
        </r>
        <r>
          <rPr>
            <sz val="9"/>
            <color indexed="81"/>
            <rFont val="Tahoma"/>
            <family val="2"/>
          </rPr>
          <t>Liegt die Inbetriebnahme einer in diesem Förderprogramm geförderten Solarkollektoranlage bereits über 3 Jahre zurück, jedoch nicht länger als 7 Jahre, kann einmalig für Maßnahmen zur Optimierung dieser Anlage ein Investitionszuschuss in Höhe von 200 €, höchstens jedoch in Höhe der förderfähigen Kosten gewährt werden. Förderbeträge unter einem Betrag von 100€ werden nicht ausgezahlt. Die Optimierung erfordert
grundsätzlich eine Bestandsaufnahme und ggf. die Analyse des Ist-Zustandes (z.B. nach DIN EN 15738). Bei Bedarf sind ferner möglich:
• die Durchführung des hydraulischen Abgleichs oder
• die Umsetzung von Maßnahmen zur Verbesserung der Energieeffizienz am gesamten
Heizsystem (z.B. die Optimierung der Heizkurve, die Anpassung der Vorlauftemperatur
und der Pumpenleistung sowie der Einsatz von Einzelraumreglern). Einzelheiten werden durch das BAFA geregelt.</t>
        </r>
      </text>
    </comment>
    <comment ref="X43" authorId="0">
      <text>
        <r>
          <rPr>
            <b/>
            <sz val="9"/>
            <color indexed="81"/>
            <rFont val="Tahoma"/>
            <family val="2"/>
          </rPr>
          <t>Richtwerte für Wärme-Systemverluste</t>
        </r>
        <r>
          <rPr>
            <sz val="9"/>
            <color indexed="81"/>
            <rFont val="Tahoma"/>
            <family val="2"/>
          </rPr>
          <t xml:space="preserve">
WW-Bereitung:                                   0,15%/K
Kombispeicher:                                    0,22%/K
Pufferspeicher+FWS oder WW-Speicher: 0,42%/K
Pufferspeicher+Schichtenspeicher:          0,33%/K
solare Netzwärme mit kleinem Speicher:   0,20%/K
solare Netzwärme mit Wochenspeicher:   0,33%/K
solare Netzwärme mit Saisonalspeicher:    0,75%/K
Prozesswärme:                                     0,12%/K
Beispiel 0,15 % bei 75 °C mittl. Kollektortemperatur:
Verluste: 1244 kWh/m²a * 0,15 %/K * (75 °C - 20 °C) </t>
        </r>
        <r>
          <rPr>
            <sz val="9"/>
            <color indexed="81"/>
            <rFont val="Arial"/>
            <family val="2"/>
          </rPr>
          <t>≈</t>
        </r>
        <r>
          <rPr>
            <sz val="9"/>
            <color indexed="81"/>
            <rFont val="Tahoma"/>
            <family val="2"/>
          </rPr>
          <t xml:space="preserve"> 103 kWh/m²a 
Hier können auch Stagnationsverluste berücksichtigt werden, wenn die Solarwärme zeitweise nicht genutzt wird, z. B. Prozesswärme mit 5-Tage-Woche oder solares Heizen.</t>
        </r>
      </text>
    </comment>
    <comment ref="T48" authorId="0">
      <text>
        <r>
          <rPr>
            <b/>
            <sz val="9"/>
            <color indexed="81"/>
            <rFont val="Tahoma"/>
            <family val="2"/>
          </rPr>
          <t>Solar-Großspeicher</t>
        </r>
        <r>
          <rPr>
            <sz val="9"/>
            <color indexed="81"/>
            <rFont val="Tahoma"/>
            <family val="2"/>
          </rPr>
          <t xml:space="preserve">
Bei Errichtung und Erweiterung großer Wärmespeicher ab 10 m³ kann ein Tilgungszuschuss gewährt werden
− bis zu 250 € je m³ Speichervolumen bei Wasserspeichern,
− bis zu 250 € je m³ Wasseräquivalent bei Latentwärmespeichern und bei sonstigen Wärmespeichern.
Der Förderbetrag deckt höchstens 30 % der für den Speicher nachgewiesenen Nettoinvestitionskosten ab und beträgt je Wärmespeicher höchstens 1 000 000€. Für die Förderung müssen folgende Voraussetzungen erfüllt sein:
Gefördert werden können nur Wärmespeicher mit einem Speichervolumen von mehr als 10 m³ Wasservolumen (große Wärmespeicher) für den Ausgleich des Tagesgangs der Wärmelast oder für den Ausgleich des saisonalen Gangs der Wärmelast bei Anlagen zur Nutzung erneuerbarer Energien, sofern
− die im Speicher unter Auslegungsbedingungen maximal enthaltene, nutzbare Wärmemenge wenigstens 15 % des maximalen täglichen Wärmebedarfs der angeschlossenen Wärmeverbraucher beträgt,
− der jährliche Wärmeverlust des Speichers bei weniger als 10 % der entnommenen Wärme liegt. Bei Speichern, die gemäß Auslegungsrechnungen weniger als 12mal im Jahr entladen werden, erhöht sich der zulässige Verlust auf 40 %,
− sie nicht nach KWKG gefördert werden können und
− das Temperaturniveau der Wärme, die im auslegungsgemäßen Betrieb dem Speicher entnommen wird, ausreicht, um die Wärmelast direkt und ohne weitere Maßnahmen zur Temperaturerhöhung zu decken.</t>
        </r>
      </text>
    </comment>
  </commentList>
</comments>
</file>

<file path=xl/sharedStrings.xml><?xml version="1.0" encoding="utf-8"?>
<sst xmlns="http://schemas.openxmlformats.org/spreadsheetml/2006/main" count="302" uniqueCount="223">
  <si>
    <t>m²</t>
  </si>
  <si>
    <t>Kesseltauschbonus</t>
  </si>
  <si>
    <t>KMU</t>
  </si>
  <si>
    <t>Warmwasser</t>
  </si>
  <si>
    <t>Solarnetzwärme</t>
  </si>
  <si>
    <t>Prozesswärme</t>
  </si>
  <si>
    <t>Kühlung</t>
  </si>
  <si>
    <t>individuell</t>
  </si>
  <si>
    <t>AGVO-Limit</t>
  </si>
  <si>
    <t>Anwendung</t>
  </si>
  <si>
    <t>Kollektorvergleich</t>
  </si>
  <si>
    <t>Gebäudeeffizienzbonus W55</t>
  </si>
  <si>
    <t>nein</t>
  </si>
  <si>
    <t>ja</t>
  </si>
  <si>
    <t>BAFA</t>
  </si>
  <si>
    <t>eBAFA</t>
  </si>
  <si>
    <t>KfW</t>
  </si>
  <si>
    <t>eKfW</t>
  </si>
  <si>
    <t>Neubau</t>
  </si>
  <si>
    <t>Basis</t>
  </si>
  <si>
    <t>Bautyp (WW u. H)</t>
  </si>
  <si>
    <t>MFH, &lt;500 m² oder 50+</t>
  </si>
  <si>
    <t>Kollektortyp</t>
  </si>
  <si>
    <t>Ct/(kWh/m²a)</t>
  </si>
  <si>
    <t>Ct/(kWh/a)</t>
  </si>
  <si>
    <t>Ct</t>
  </si>
  <si>
    <t>kWh</t>
  </si>
  <si>
    <t>m²a</t>
  </si>
  <si>
    <t>a</t>
  </si>
  <si>
    <t>KfW_Vgl.</t>
  </si>
  <si>
    <t>eKfW_Vgl.</t>
  </si>
  <si>
    <t>eBAFA_Vgl.</t>
  </si>
  <si>
    <t>Biomasse- oder WP aus MAP</t>
  </si>
  <si>
    <t>Anschluss an ein Wärmenetz</t>
  </si>
  <si>
    <t>Kollektorvergleich mit</t>
  </si>
  <si>
    <t>Bestand</t>
  </si>
  <si>
    <t>Referenzkollektor</t>
  </si>
  <si>
    <t xml:space="preserve">   Cent/kWh Energiepreis heute</t>
  </si>
  <si>
    <t>Amortisationzeit in Jahren</t>
  </si>
  <si>
    <t>Förderung in Euro/m²</t>
  </si>
  <si>
    <t>nicht KMU</t>
  </si>
  <si>
    <t>BAFA-Prozesswärme</t>
  </si>
  <si>
    <t>KfW+KMU</t>
  </si>
  <si>
    <t>XL 15/39 P</t>
  </si>
  <si>
    <t>XL 19/49 P</t>
  </si>
  <si>
    <t>XL 15/26 P</t>
  </si>
  <si>
    <t>XL 19/33 P</t>
  </si>
  <si>
    <t>Star 15/26</t>
  </si>
  <si>
    <t>Star 15/39</t>
  </si>
  <si>
    <t>Star 19/33</t>
  </si>
  <si>
    <t>Star 19/49</t>
  </si>
  <si>
    <t>Plasma 15/27</t>
  </si>
  <si>
    <t>Plasma 15/40</t>
  </si>
  <si>
    <t>Plasma 19/34</t>
  </si>
  <si>
    <t>Plasma 19/50</t>
  </si>
  <si>
    <t>Ab [m²]</t>
  </si>
  <si>
    <t>SKII50 [kWh/m²a]</t>
  </si>
  <si>
    <t>selbst definiert</t>
  </si>
  <si>
    <t>Optimierung der Heizanlage zur</t>
  </si>
  <si>
    <t>Errichtung der neuen Solaranlage</t>
  </si>
  <si>
    <t>Solaranlagenerweiterung oder -Neubau?</t>
  </si>
  <si>
    <t>B45</t>
  </si>
  <si>
    <t>B11</t>
  </si>
  <si>
    <t>B8</t>
  </si>
  <si>
    <t>B18</t>
  </si>
  <si>
    <t>aufgerundet:</t>
  </si>
  <si>
    <t>B2</t>
  </si>
  <si>
    <t>Neubau Solaranlage</t>
  </si>
  <si>
    <t>Erweiterung Solaranlage</t>
  </si>
  <si>
    <t>Optimierung nach &gt;3 und &lt;7 Jahren</t>
  </si>
  <si>
    <t>Art der Maßnahme an der Solaranlage</t>
  </si>
  <si>
    <t>Hochtemperatur-Flachkollektor</t>
  </si>
  <si>
    <t>Standard-Flachkollektor</t>
  </si>
  <si>
    <t>Niedertemperatur-Flachkollektor</t>
  </si>
  <si>
    <t>Heat-Pipe-Großanlage SAED (Viessmann)</t>
  </si>
  <si>
    <t>VRK, direkt durchflossen</t>
  </si>
  <si>
    <t>Heat-Pipe-VRK</t>
  </si>
  <si>
    <t>CPC-VRK ohne Plasmabeschichtung</t>
  </si>
  <si>
    <t>kein Kollektorvergleich</t>
  </si>
  <si>
    <t>SKII75 [kWh/m²a]</t>
  </si>
  <si>
    <t>Daten für Rentabilität (Energiepreis, Gewinn, Amortisation):</t>
  </si>
  <si>
    <t>SKII [kWh/m²a]</t>
  </si>
  <si>
    <t>kWh/m²a</t>
  </si>
  <si>
    <t>K</t>
  </si>
  <si>
    <t>SK II X°C</t>
  </si>
  <si>
    <t>kWh/m²aK</t>
  </si>
  <si>
    <t>spez. Sys.-Verlust</t>
  </si>
  <si>
    <t>Sys.-Verlust</t>
  </si>
  <si>
    <t>Einstrahlung Würzburg 35 ° Süd</t>
  </si>
  <si>
    <t>Systemgewinn</t>
  </si>
  <si>
    <t>WW-Bereitung</t>
  </si>
  <si>
    <t>Kombispeicher</t>
  </si>
  <si>
    <t>Pufferspeicher+FWS oder WW-Speicher</t>
  </si>
  <si>
    <t>Pufferspeicher+Schichtenspeicher</t>
  </si>
  <si>
    <t>solare Netzwärme ohne Speicher</t>
  </si>
  <si>
    <t>solare Netzwärme mit Wochenspeicher</t>
  </si>
  <si>
    <t>solare Netzwärme mit Saisonalspeicher</t>
  </si>
  <si>
    <t>keine Systemverluste</t>
  </si>
  <si>
    <t>Prozesswärme ohne Solarspeicher</t>
  </si>
  <si>
    <t xml:space="preserve">   Energiepreisanstieg, allgemeine Inflation</t>
  </si>
  <si>
    <t>KMU (Kleine und mittlere Unternehmen)</t>
  </si>
  <si>
    <t>Verluste in %bei 70 °C</t>
  </si>
  <si>
    <t>Kollektor selbst definiert</t>
  </si>
  <si>
    <t>Solarwärmespeicher ab 10 m³</t>
  </si>
  <si>
    <t xml:space="preserve">   Nettoinvestitionskosten Solar-Großspeicher</t>
  </si>
  <si>
    <t>€ max. Förderung Solar-Großspeicher</t>
  </si>
  <si>
    <t>€ Eigenkosten Solar-Großspeicher</t>
  </si>
  <si>
    <t>€ Förderung Wasser(äquivalent)</t>
  </si>
  <si>
    <t>Fördergebiet</t>
  </si>
  <si>
    <t>u.</t>
  </si>
  <si>
    <t>o.</t>
  </si>
  <si>
    <t>Inno</t>
  </si>
  <si>
    <t>Warmwasser und / oder Heizung</t>
  </si>
  <si>
    <t>AGVO auch auf BAFA anwenden</t>
  </si>
  <si>
    <t xml:space="preserve">   ganzjährige mittlere Kollektortemperatur</t>
  </si>
  <si>
    <t xml:space="preserve">   Bruttofläche</t>
  </si>
  <si>
    <t>Vakuumflachkollektor</t>
  </si>
  <si>
    <t>CPC-Vakuumröhrenkollektor</t>
  </si>
  <si>
    <t>Heat-Pipe-Vakuumröhrenkollektor</t>
  </si>
  <si>
    <t>Direkt durchströmter Vakuumröhrenkollektor</t>
  </si>
  <si>
    <t>Bester FK mit Folie zwischen Glas und selektivem Absorber</t>
  </si>
  <si>
    <t xml:space="preserve">Guter FK mit selektivem Absorber </t>
  </si>
  <si>
    <t>Preiswerter MAP-förderfähiger Flachkollektor</t>
  </si>
  <si>
    <t>bester FK mit Folie zwischen Glas und selektivem Absorber</t>
  </si>
  <si>
    <t>CPC-Plasma-Vakuumröhren-Großanlagenkollektor</t>
  </si>
  <si>
    <t>sehr preiswerter MAP-förderfähiger MAP-Kollektor</t>
  </si>
  <si>
    <t>Ritter OEM-CPC-Vakuumröhrenkollektor</t>
  </si>
  <si>
    <t xml:space="preserve">TVP Vakuum </t>
  </si>
  <si>
    <t>CPC XL 50 Plasma</t>
  </si>
  <si>
    <t>CPC Vaillant VTK</t>
  </si>
  <si>
    <t>Vitosol 200-T SP2A</t>
  </si>
  <si>
    <t>Kingspan mit Thermomax DF 100:</t>
  </si>
  <si>
    <t>Arcon H/S SA-HT</t>
  </si>
  <si>
    <t>Buderus Logasol SKS 4.0-s</t>
  </si>
  <si>
    <t>Buderus CKN 1.0-s</t>
  </si>
  <si>
    <t>Aco Tec</t>
  </si>
  <si>
    <t>Sunrain, China</t>
  </si>
  <si>
    <t>REM RF 258s</t>
  </si>
  <si>
    <t>FK Gluatmugl GS 16,7</t>
  </si>
  <si>
    <t>CPC Star azzurro</t>
  </si>
  <si>
    <t>CPC Aqua Plasma</t>
  </si>
  <si>
    <t>Null-Verlustbasis</t>
  </si>
  <si>
    <t xml:space="preserve">preiswerter Thermosiphon-Röhrenkollektor </t>
  </si>
  <si>
    <t>bester VRK ohne CPC-Spiegel</t>
  </si>
  <si>
    <t xml:space="preserve">guter FK mit selektivem Absorber </t>
  </si>
  <si>
    <t>preiswerter MAP-förderfähiger FK</t>
  </si>
  <si>
    <t>sehr preiswerter MAP-förderfähiger FK</t>
  </si>
  <si>
    <t>direkt durchströmter VRK</t>
  </si>
  <si>
    <t>Systemgewinn Vgl.</t>
  </si>
  <si>
    <t>B82</t>
  </si>
  <si>
    <t>B85</t>
  </si>
  <si>
    <t>B79</t>
  </si>
  <si>
    <t>B54</t>
  </si>
  <si>
    <t>B51</t>
  </si>
  <si>
    <t>B48</t>
  </si>
  <si>
    <t>B40</t>
  </si>
  <si>
    <t>B37</t>
  </si>
  <si>
    <t>B59</t>
  </si>
  <si>
    <t>Plasma-CPC-VRK (Großanlagen)</t>
  </si>
  <si>
    <t>Vakuum-FK (seit 2012)</t>
  </si>
  <si>
    <t>guter CPC-VRK (seit 1998)</t>
  </si>
  <si>
    <t>Plasma-CPC-VRK (seit 2012)</t>
  </si>
  <si>
    <t>CPC-VRK (Standard)</t>
  </si>
  <si>
    <t>Großflächen-FK (Österreich)</t>
  </si>
  <si>
    <t>bester Großflächen-FK (Glas+Folie)</t>
  </si>
  <si>
    <t>Thermosiphon-VRK (China)</t>
  </si>
  <si>
    <t>VRK</t>
  </si>
  <si>
    <t>FK</t>
  </si>
  <si>
    <t>B90</t>
  </si>
  <si>
    <t xml:space="preserve">          Eingabe:</t>
  </si>
  <si>
    <t>sehr preiswerter MAP-FK</t>
  </si>
  <si>
    <t>kJ/m²K</t>
  </si>
  <si>
    <t>Kapazitätsannahme</t>
  </si>
  <si>
    <t>kWh/m²K</t>
  </si>
  <si>
    <t>Vgl.-525-Kriterium</t>
  </si>
  <si>
    <t>525-Kriterium</t>
  </si>
  <si>
    <t xml:space="preserve">   Mindest-Speichergröße:</t>
  </si>
  <si>
    <t xml:space="preserve">  Fördermax. nach AGVO</t>
  </si>
  <si>
    <t>Basismax</t>
  </si>
  <si>
    <t>€/m²</t>
  </si>
  <si>
    <t>Untergrenze</t>
  </si>
  <si>
    <t>Obergrenze</t>
  </si>
  <si>
    <t>Qkol = 0,38 (W25/Aap -Ceff) + 0,71 (W50/Aap - Ceff)</t>
  </si>
  <si>
    <t>Aperturfläche:</t>
  </si>
  <si>
    <t>Faktor auf Invest für BAFA ohne AGVO</t>
  </si>
  <si>
    <t>Solargewinn in 20 Jahren</t>
  </si>
  <si>
    <t>Eigenkosten</t>
  </si>
  <si>
    <t>Solarenergiepreis (20 Jahre) in Cent/kWh</t>
  </si>
  <si>
    <t>eMAP</t>
  </si>
  <si>
    <t>GU Sonderfördergebiete</t>
  </si>
  <si>
    <t>MU Sonderfördergebiete</t>
  </si>
  <si>
    <t>KU Sonderfördergebiete</t>
  </si>
  <si>
    <t>Großunternehmen (GU)</t>
  </si>
  <si>
    <t>Mittlere Unternehmen (MU)</t>
  </si>
  <si>
    <t>Kleinunternehmen (KU)</t>
  </si>
  <si>
    <t>BAFA Vgl.</t>
  </si>
  <si>
    <t>oder Eingabe:</t>
  </si>
  <si>
    <t xml:space="preserve">   Ertrag Würzburg S.-Keymark</t>
  </si>
  <si>
    <t xml:space="preserve">   Prozent pro Grad Verluste ab 20 °C, bezogen auf</t>
  </si>
  <si>
    <t xml:space="preserve">   kWh/m²a Systemertrag (Referenz-/ Vergleichskollektor)</t>
  </si>
  <si>
    <t xml:space="preserve">   Wasserinhalt (oder Äquivalent) Großspeicher</t>
  </si>
  <si>
    <t>Bautyp</t>
  </si>
  <si>
    <t xml:space="preserve">   Netto-Inv.-kost. Vergleichsanlage bzw.:</t>
  </si>
  <si>
    <t xml:space="preserve">   SKW50 Vergleichskollektor</t>
  </si>
  <si>
    <t xml:space="preserve">   SKW75 Vergleichskollektor</t>
  </si>
  <si>
    <t xml:space="preserve">   Einstrahlung 35° Süd für Würzburg (1244 kWh/m²a)</t>
  </si>
  <si>
    <t>Innovationsförderung</t>
  </si>
  <si>
    <t xml:space="preserve">   bei 50 °C (= SKW50 Referenzkollektor)</t>
  </si>
  <si>
    <t xml:space="preserve">   bei 75 °C (= SKW75 Referenzkollektor)</t>
  </si>
  <si>
    <t>LN(Preisanstieg%*Eigenkosten€/(Jahresgewinn€)+1)/LN(1+Preisanstieg%))))</t>
  </si>
  <si>
    <t>Jahresgewinn€/100*  ((1+Inflation%)^20-1)/(Inflation%)-Eigenkosten</t>
  </si>
  <si>
    <t>Eigenkosten€/(Jahresgewinn€)*100</t>
  </si>
  <si>
    <t>Zuschlag "Anreizprogramm Energieeffizienz"</t>
  </si>
  <si>
    <t>20 % zur MAP-Förderung</t>
  </si>
  <si>
    <t>600 € für Effizienzsteigerung (APEE)</t>
  </si>
  <si>
    <t>20 % zum MAP + 600 € APEE</t>
  </si>
  <si>
    <t>Der Rechner dient dem Verständnis zum Gebrauch und zur Auswirkung des MAP für Solarthermie zum Stand Januar 2016 und schließt jede Haftung aus. 
Der Benutzer muss sich insbesondere über den korrekten Verfahrensweg zur Erlangung von Förderung im MAP selbst informieren.</t>
  </si>
  <si>
    <t>Förderung im Vergleich (zum Maximum)</t>
  </si>
  <si>
    <t>Förderquote auf Investition</t>
  </si>
  <si>
    <t>Förderung Energie Cent/kWh (20 Jahre)</t>
  </si>
  <si>
    <t>Förderung im Vgl. zum Max. in Euro/m²</t>
  </si>
  <si>
    <t>Anreizprogramm Energieeffizienz (APEE)</t>
  </si>
  <si>
    <t>MAP solar 2016      V2.0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</si>
</sst>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 &quot;€&quot;"/>
    <numFmt numFmtId="165" formatCode="0.0%"/>
    <numFmt numFmtId="166" formatCode="#,##0.0"/>
    <numFmt numFmtId="167" formatCode="0.000"/>
    <numFmt numFmtId="168" formatCode="0\ &quot;kWh/m²a&quot;"/>
    <numFmt numFmtId="169" formatCode="General\ &quot;°C&quot;"/>
    <numFmt numFmtId="170" formatCode="0.00%&quot; /K&quot;"/>
    <numFmt numFmtId="171" formatCode="General\ &quot;m³&quot;"/>
    <numFmt numFmtId="172" formatCode="General\ &quot;m²&quot;"/>
    <numFmt numFmtId="173" formatCode="General\ &quot;kWh/m²a&quot;"/>
    <numFmt numFmtId="174" formatCode="#,##0\ &quot;€&quot;&quot;/m²&quot;"/>
    <numFmt numFmtId="175" formatCode="#,##0.0\ &quot;€&quot;"/>
    <numFmt numFmtId="176" formatCode="0.00&quot; Ct/kWh&quot;"/>
    <numFmt numFmtId="177" formatCode="#,##0.000"/>
  </numFmts>
  <fonts count="18" x14ac:knownFonts="1">
    <font>
      <sz val="10"/>
      <color theme="1"/>
      <name val="Arial"/>
      <family val="2"/>
    </font>
    <font>
      <sz val="11"/>
      <color theme="1"/>
      <name val="Calibri"/>
      <family val="2"/>
      <scheme val="minor"/>
    </font>
    <font>
      <sz val="12"/>
      <name val="Arial"/>
      <family val="2"/>
    </font>
    <font>
      <b/>
      <sz val="12"/>
      <color theme="1"/>
      <name val="Arial"/>
      <family val="2"/>
    </font>
    <font>
      <sz val="9"/>
      <color theme="1"/>
      <name val="Arial"/>
      <family val="2"/>
    </font>
    <font>
      <sz val="9"/>
      <color indexed="81"/>
      <name val="Tahoma"/>
      <family val="2"/>
    </font>
    <font>
      <b/>
      <sz val="9"/>
      <color indexed="81"/>
      <name val="Tahoma"/>
      <family val="2"/>
    </font>
    <font>
      <b/>
      <sz val="10"/>
      <color theme="1"/>
      <name val="Arial"/>
      <family val="2"/>
    </font>
    <font>
      <sz val="10"/>
      <color rgb="FFFF0000"/>
      <name val="Arial"/>
      <family val="2"/>
    </font>
    <font>
      <sz val="9"/>
      <color indexed="81"/>
      <name val="Arial"/>
      <family val="2"/>
    </font>
    <font>
      <b/>
      <i/>
      <sz val="9"/>
      <color indexed="81"/>
      <name val="Tahoma"/>
      <family val="2"/>
    </font>
    <font>
      <sz val="8"/>
      <color rgb="FF000000"/>
      <name val="Tahoma"/>
      <family val="2"/>
    </font>
    <font>
      <b/>
      <sz val="8"/>
      <color rgb="FFFF0000"/>
      <name val="Arial"/>
      <family val="2"/>
    </font>
    <font>
      <b/>
      <sz val="8"/>
      <color rgb="FF0000FF"/>
      <name val="Arial"/>
      <family val="2"/>
    </font>
    <font>
      <sz val="10"/>
      <color theme="0" tint="-0.14999847407452621"/>
      <name val="Arial"/>
      <family val="2"/>
    </font>
    <font>
      <b/>
      <u/>
      <sz val="10"/>
      <color indexed="81"/>
      <name val="Tahoma"/>
      <family val="2"/>
    </font>
    <font>
      <sz val="10"/>
      <color theme="0" tint="-0.34998626667073579"/>
      <name val="Arial"/>
      <family val="2"/>
    </font>
    <font>
      <sz val="9"/>
      <color theme="0" tint="-0.34998626667073579"/>
      <name val="Arial"/>
      <family val="2"/>
    </font>
  </fonts>
  <fills count="10">
    <fill>
      <patternFill patternType="none"/>
    </fill>
    <fill>
      <patternFill patternType="gray125"/>
    </fill>
    <fill>
      <patternFill patternType="solid">
        <fgColor rgb="FF00FF0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FF66"/>
        <bgColor indexed="64"/>
      </patternFill>
    </fill>
    <fill>
      <patternFill patternType="solid">
        <fgColor rgb="FFFFCC00"/>
        <bgColor indexed="64"/>
      </patternFill>
    </fill>
    <fill>
      <patternFill patternType="solid">
        <fgColor rgb="FFCCFF33"/>
        <bgColor indexed="64"/>
      </patternFill>
    </fill>
    <fill>
      <patternFill patternType="solid">
        <fgColor theme="8" tint="0.59999389629810485"/>
        <bgColor indexed="64"/>
      </patternFill>
    </fill>
  </fills>
  <borders count="43">
    <border>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thin">
        <color auto="1"/>
      </top>
      <bottom style="thin">
        <color indexed="64"/>
      </bottom>
      <diagonal/>
    </border>
    <border>
      <left/>
      <right/>
      <top/>
      <bottom style="thin">
        <color indexed="64"/>
      </bottom>
      <diagonal/>
    </border>
    <border>
      <left style="thin">
        <color auto="1"/>
      </left>
      <right style="thick">
        <color auto="1"/>
      </right>
      <top style="thin">
        <color indexed="64"/>
      </top>
      <bottom style="thin">
        <color indexed="64"/>
      </bottom>
      <diagonal/>
    </border>
    <border>
      <left/>
      <right/>
      <top style="medium">
        <color indexed="64"/>
      </top>
      <bottom style="thin">
        <color indexed="64"/>
      </bottom>
      <diagonal/>
    </border>
    <border>
      <left/>
      <right style="thick">
        <color auto="1"/>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indexed="64"/>
      </right>
      <top style="thin">
        <color auto="1"/>
      </top>
      <bottom style="thin">
        <color indexed="64"/>
      </bottom>
      <diagonal/>
    </border>
    <border>
      <left style="thin">
        <color auto="1"/>
      </left>
      <right style="thin">
        <color auto="1"/>
      </right>
      <top style="thin">
        <color auto="1"/>
      </top>
      <bottom style="medium">
        <color indexed="64"/>
      </bottom>
      <diagonal/>
    </border>
    <border>
      <left style="thin">
        <color auto="1"/>
      </left>
      <right style="thick">
        <color auto="1"/>
      </right>
      <top style="thin">
        <color indexed="64"/>
      </top>
      <bottom style="medium">
        <color indexed="64"/>
      </bottom>
      <diagonal/>
    </border>
    <border>
      <left/>
      <right style="thin">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ck">
        <color auto="1"/>
      </right>
      <top/>
      <bottom style="thin">
        <color indexed="64"/>
      </bottom>
      <diagonal/>
    </border>
    <border>
      <left style="thin">
        <color auto="1"/>
      </left>
      <right style="medium">
        <color indexed="64"/>
      </right>
      <top/>
      <bottom style="thin">
        <color indexed="64"/>
      </bottom>
      <diagonal/>
    </border>
    <border>
      <left style="thin">
        <color auto="1"/>
      </left>
      <right style="thin">
        <color auto="1"/>
      </right>
      <top style="thin">
        <color auto="1"/>
      </top>
      <bottom style="thick">
        <color indexed="64"/>
      </bottom>
      <diagonal/>
    </border>
    <border>
      <left/>
      <right style="thick">
        <color auto="1"/>
      </right>
      <top style="thin">
        <color auto="1"/>
      </top>
      <bottom style="thick">
        <color indexed="64"/>
      </bottom>
      <diagonal/>
    </border>
    <border>
      <left/>
      <right style="thin">
        <color indexed="64"/>
      </right>
      <top style="thin">
        <color auto="1"/>
      </top>
      <bottom style="thick">
        <color indexed="64"/>
      </bottom>
      <diagonal/>
    </border>
    <border>
      <left/>
      <right style="medium">
        <color indexed="64"/>
      </right>
      <top/>
      <bottom style="thick">
        <color indexed="64"/>
      </bottom>
      <diagonal/>
    </border>
    <border>
      <left style="thin">
        <color auto="1"/>
      </left>
      <right style="thick">
        <color auto="1"/>
      </right>
      <top style="thin">
        <color auto="1"/>
      </top>
      <bottom style="thick">
        <color indexed="64"/>
      </bottom>
      <diagonal/>
    </border>
    <border>
      <left style="thin">
        <color auto="1"/>
      </left>
      <right style="medium">
        <color indexed="64"/>
      </right>
      <top style="thin">
        <color auto="1"/>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thick">
        <color indexed="64"/>
      </bottom>
      <diagonal/>
    </border>
    <border>
      <left style="medium">
        <color indexed="64"/>
      </left>
      <right style="thick">
        <color indexed="64"/>
      </right>
      <top/>
      <bottom/>
      <diagonal/>
    </border>
    <border>
      <left style="medium">
        <color indexed="64"/>
      </left>
      <right style="thick">
        <color indexed="64"/>
      </right>
      <top style="thin">
        <color auto="1"/>
      </top>
      <bottom style="thin">
        <color indexed="64"/>
      </bottom>
      <diagonal/>
    </border>
    <border>
      <left style="medium">
        <color indexed="64"/>
      </left>
      <right style="thick">
        <color indexed="64"/>
      </right>
      <top style="thin">
        <color auto="1"/>
      </top>
      <bottom style="thick">
        <color indexed="64"/>
      </bottom>
      <diagonal/>
    </border>
    <border>
      <left style="medium">
        <color indexed="64"/>
      </left>
      <right style="thick">
        <color indexed="64"/>
      </right>
      <top/>
      <bottom style="thin">
        <color auto="1"/>
      </bottom>
      <diagonal/>
    </border>
    <border>
      <left style="medium">
        <color indexed="64"/>
      </left>
      <right style="thick">
        <color indexed="64"/>
      </right>
      <top/>
      <bottom style="medium">
        <color indexed="64"/>
      </bottom>
      <diagonal/>
    </border>
    <border>
      <left style="thick">
        <color auto="1"/>
      </left>
      <right style="thin">
        <color indexed="64"/>
      </right>
      <top style="thin">
        <color auto="1"/>
      </top>
      <bottom style="medium">
        <color indexed="64"/>
      </bottom>
      <diagonal/>
    </border>
    <border>
      <left style="thick">
        <color auto="1"/>
      </left>
      <right style="thin">
        <color indexed="64"/>
      </right>
      <top style="thin">
        <color auto="1"/>
      </top>
      <bottom style="thick">
        <color indexed="64"/>
      </bottom>
      <diagonal/>
    </border>
    <border>
      <left style="thick">
        <color auto="1"/>
      </left>
      <right style="thin">
        <color indexed="64"/>
      </right>
      <top/>
      <bottom style="thin">
        <color indexed="64"/>
      </bottom>
      <diagonal/>
    </border>
    <border>
      <left style="thick">
        <color auto="1"/>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23">
    <xf numFmtId="0" fontId="0" fillId="0" borderId="0" xfId="0"/>
    <xf numFmtId="0" fontId="0" fillId="0" borderId="0" xfId="0" applyAlignment="1">
      <alignment horizontal="center"/>
    </xf>
    <xf numFmtId="9" fontId="0" fillId="0" borderId="0" xfId="0" applyNumberFormat="1"/>
    <xf numFmtId="9" fontId="0" fillId="0" borderId="0" xfId="0" applyNumberFormat="1" applyAlignment="1">
      <alignment horizontal="left"/>
    </xf>
    <xf numFmtId="1" fontId="0" fillId="0" borderId="0" xfId="0" applyNumberFormat="1" applyAlignment="1">
      <alignment horizontal="center"/>
    </xf>
    <xf numFmtId="0" fontId="0" fillId="3" borderId="0" xfId="0" applyFill="1" applyBorder="1"/>
    <xf numFmtId="0" fontId="0" fillId="0" borderId="0" xfId="0" applyProtection="1">
      <protection locked="0"/>
    </xf>
    <xf numFmtId="0" fontId="7" fillId="0" borderId="13" xfId="0" applyFont="1" applyBorder="1"/>
    <xf numFmtId="0" fontId="0" fillId="0" borderId="0" xfId="0" applyAlignment="1">
      <alignment horizontal="right"/>
    </xf>
    <xf numFmtId="0" fontId="8" fillId="0" borderId="0" xfId="0" applyFont="1"/>
    <xf numFmtId="10" fontId="0" fillId="0" borderId="0" xfId="0" applyNumberFormat="1"/>
    <xf numFmtId="0" fontId="0" fillId="0" borderId="0" xfId="0" applyBorder="1"/>
    <xf numFmtId="1" fontId="0" fillId="0" borderId="0" xfId="0" applyNumberFormat="1"/>
    <xf numFmtId="0" fontId="0" fillId="0" borderId="0" xfId="0" applyAlignment="1">
      <alignment horizontal="left"/>
    </xf>
    <xf numFmtId="167" fontId="0" fillId="0" borderId="0" xfId="0" applyNumberFormat="1"/>
    <xf numFmtId="0" fontId="0" fillId="5" borderId="0" xfId="0" applyFill="1"/>
    <xf numFmtId="0" fontId="0" fillId="0" borderId="0" xfId="0" applyNumberFormat="1" applyAlignment="1">
      <alignment horizontal="right"/>
    </xf>
    <xf numFmtId="0" fontId="0" fillId="0" borderId="0" xfId="0" applyNumberFormat="1"/>
    <xf numFmtId="164" fontId="4" fillId="7" borderId="4" xfId="0" applyNumberFormat="1" applyFont="1" applyFill="1" applyBorder="1" applyAlignment="1" applyProtection="1">
      <alignment horizontal="center"/>
      <protection hidden="1"/>
    </xf>
    <xf numFmtId="0" fontId="0" fillId="3" borderId="11" xfId="0" applyFill="1" applyBorder="1" applyProtection="1">
      <protection hidden="1"/>
    </xf>
    <xf numFmtId="0" fontId="0" fillId="3" borderId="6" xfId="0" applyFill="1" applyBorder="1" applyProtection="1">
      <protection hidden="1"/>
    </xf>
    <xf numFmtId="0" fontId="0" fillId="3" borderId="7" xfId="0" applyFill="1" applyBorder="1" applyProtection="1">
      <protection hidden="1"/>
    </xf>
    <xf numFmtId="0" fontId="0" fillId="3" borderId="8" xfId="0" applyFill="1" applyBorder="1" applyProtection="1">
      <protection hidden="1"/>
    </xf>
    <xf numFmtId="0" fontId="7" fillId="3" borderId="15" xfId="0" applyFont="1" applyFill="1" applyBorder="1" applyProtection="1">
      <protection hidden="1"/>
    </xf>
    <xf numFmtId="0" fontId="0" fillId="3" borderId="15" xfId="0" applyFill="1" applyBorder="1" applyProtection="1">
      <protection hidden="1"/>
    </xf>
    <xf numFmtId="0" fontId="0" fillId="3" borderId="16" xfId="0" applyFill="1" applyBorder="1" applyProtection="1">
      <protection hidden="1"/>
    </xf>
    <xf numFmtId="0" fontId="7" fillId="3" borderId="17" xfId="0" applyFont="1" applyFill="1" applyBorder="1" applyAlignment="1" applyProtection="1">
      <alignment horizontal="left" vertical="center"/>
      <protection hidden="1"/>
    </xf>
    <xf numFmtId="0" fontId="0" fillId="3" borderId="18" xfId="0" applyFill="1" applyBorder="1" applyProtection="1">
      <protection hidden="1"/>
    </xf>
    <xf numFmtId="0" fontId="0" fillId="3" borderId="1" xfId="0" applyFill="1" applyBorder="1" applyProtection="1">
      <protection hidden="1"/>
    </xf>
    <xf numFmtId="0" fontId="0" fillId="3" borderId="27"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4" xfId="0" applyFill="1" applyBorder="1" applyProtection="1">
      <protection hidden="1"/>
    </xf>
    <xf numFmtId="164" fontId="4" fillId="6" borderId="3" xfId="0" applyNumberFormat="1" applyFont="1" applyFill="1" applyBorder="1" applyAlignment="1" applyProtection="1">
      <alignment horizontal="center"/>
      <protection hidden="1"/>
    </xf>
    <xf numFmtId="164" fontId="4" fillId="8" borderId="24" xfId="0" applyNumberFormat="1" applyFont="1" applyFill="1" applyBorder="1" applyAlignment="1" applyProtection="1">
      <alignment horizontal="center"/>
      <protection hidden="1"/>
    </xf>
    <xf numFmtId="164" fontId="4" fillId="8" borderId="25" xfId="0" applyNumberFormat="1" applyFont="1" applyFill="1" applyBorder="1" applyAlignment="1" applyProtection="1">
      <alignment horizontal="center"/>
      <protection hidden="1"/>
    </xf>
    <xf numFmtId="0" fontId="0" fillId="3" borderId="35" xfId="0" applyFill="1" applyBorder="1" applyProtection="1">
      <protection hidden="1"/>
    </xf>
    <xf numFmtId="9" fontId="4" fillId="6" borderId="12" xfId="0" applyNumberFormat="1" applyFont="1" applyFill="1" applyBorder="1" applyAlignment="1" applyProtection="1">
      <alignment horizontal="center"/>
      <protection hidden="1"/>
    </xf>
    <xf numFmtId="9" fontId="4" fillId="7" borderId="5" xfId="0" applyNumberFormat="1" applyFont="1" applyFill="1" applyBorder="1" applyAlignment="1" applyProtection="1">
      <alignment horizontal="center"/>
      <protection hidden="1"/>
    </xf>
    <xf numFmtId="9" fontId="4" fillId="8" borderId="14" xfId="0" applyNumberFormat="1" applyFont="1" applyFill="1" applyBorder="1" applyAlignment="1" applyProtection="1">
      <alignment horizontal="center"/>
      <protection hidden="1"/>
    </xf>
    <xf numFmtId="9" fontId="4" fillId="8" borderId="19" xfId="0" applyNumberFormat="1" applyFont="1" applyFill="1" applyBorder="1" applyAlignment="1" applyProtection="1">
      <alignment horizontal="center"/>
      <protection hidden="1"/>
    </xf>
    <xf numFmtId="164" fontId="4" fillId="6" borderId="12" xfId="0" applyNumberFormat="1" applyFont="1" applyFill="1" applyBorder="1" applyAlignment="1" applyProtection="1">
      <alignment horizontal="center"/>
      <protection hidden="1"/>
    </xf>
    <xf numFmtId="164" fontId="4" fillId="7" borderId="5" xfId="0" applyNumberFormat="1" applyFont="1" applyFill="1" applyBorder="1" applyAlignment="1" applyProtection="1">
      <alignment horizontal="center"/>
      <protection hidden="1"/>
    </xf>
    <xf numFmtId="164" fontId="4" fillId="8" borderId="14" xfId="0" applyNumberFormat="1" applyFont="1" applyFill="1" applyBorder="1" applyAlignment="1" applyProtection="1">
      <alignment horizontal="center"/>
      <protection hidden="1"/>
    </xf>
    <xf numFmtId="164" fontId="4" fillId="8" borderId="19" xfId="0" applyNumberFormat="1" applyFont="1" applyFill="1" applyBorder="1" applyAlignment="1" applyProtection="1">
      <alignment horizontal="center"/>
      <protection hidden="1"/>
    </xf>
    <xf numFmtId="0" fontId="0" fillId="3" borderId="37" xfId="0" applyFill="1" applyBorder="1" applyProtection="1">
      <protection hidden="1"/>
    </xf>
    <xf numFmtId="0" fontId="0" fillId="3" borderId="38" xfId="0" applyFill="1" applyBorder="1" applyProtection="1">
      <protection hidden="1"/>
    </xf>
    <xf numFmtId="166" fontId="4" fillId="6" borderId="22" xfId="0" applyNumberFormat="1" applyFont="1" applyFill="1" applyBorder="1" applyAlignment="1" applyProtection="1">
      <alignment horizontal="center"/>
      <protection hidden="1"/>
    </xf>
    <xf numFmtId="166" fontId="4" fillId="7" borderId="20" xfId="0" applyNumberFormat="1" applyFont="1" applyFill="1" applyBorder="1" applyAlignment="1" applyProtection="1">
      <alignment horizontal="center"/>
      <protection hidden="1"/>
    </xf>
    <xf numFmtId="166" fontId="4" fillId="8" borderId="21" xfId="0" applyNumberFormat="1" applyFont="1" applyFill="1" applyBorder="1" applyAlignment="1" applyProtection="1">
      <alignment horizontal="center"/>
      <protection hidden="1"/>
    </xf>
    <xf numFmtId="166" fontId="4" fillId="8" borderId="23" xfId="0" applyNumberFormat="1" applyFont="1" applyFill="1" applyBorder="1" applyAlignment="1" applyProtection="1">
      <alignment horizontal="center"/>
      <protection hidden="1"/>
    </xf>
    <xf numFmtId="0" fontId="0" fillId="3" borderId="0" xfId="0" applyFill="1" applyBorder="1" applyProtection="1">
      <protection hidden="1"/>
    </xf>
    <xf numFmtId="172" fontId="0" fillId="2" borderId="5" xfId="0" applyNumberFormat="1" applyFill="1" applyBorder="1" applyAlignment="1" applyProtection="1">
      <alignment horizontal="center"/>
      <protection locked="0" hidden="1"/>
    </xf>
    <xf numFmtId="0" fontId="0" fillId="4" borderId="0" xfId="0" applyFill="1" applyBorder="1" applyProtection="1">
      <protection hidden="1"/>
    </xf>
    <xf numFmtId="168" fontId="0" fillId="5" borderId="5" xfId="0" applyNumberFormat="1" applyFill="1" applyBorder="1" applyAlignment="1" applyProtection="1">
      <alignment horizontal="center"/>
      <protection hidden="1"/>
    </xf>
    <xf numFmtId="173" fontId="0" fillId="3" borderId="5" xfId="0" applyNumberFormat="1" applyFill="1" applyBorder="1" applyAlignment="1" applyProtection="1">
      <alignment horizontal="center"/>
      <protection locked="0" hidden="1"/>
    </xf>
    <xf numFmtId="173" fontId="0" fillId="5" borderId="5" xfId="0" applyNumberFormat="1" applyFill="1" applyBorder="1" applyAlignment="1" applyProtection="1">
      <alignment horizontal="center"/>
      <protection hidden="1"/>
    </xf>
    <xf numFmtId="173" fontId="0" fillId="2" borderId="5" xfId="0" applyNumberFormat="1" applyFill="1" applyBorder="1" applyAlignment="1" applyProtection="1">
      <alignment horizontal="center"/>
      <protection locked="0" hidden="1"/>
    </xf>
    <xf numFmtId="0" fontId="0" fillId="0" borderId="0" xfId="0" applyBorder="1" applyProtection="1">
      <protection hidden="1"/>
    </xf>
    <xf numFmtId="164" fontId="0" fillId="2" borderId="5" xfId="0" applyNumberFormat="1" applyFill="1" applyBorder="1" applyAlignment="1" applyProtection="1">
      <alignment horizontal="center"/>
      <protection locked="0" hidden="1"/>
    </xf>
    <xf numFmtId="164" fontId="0" fillId="2" borderId="5" xfId="0" applyNumberFormat="1" applyFill="1" applyBorder="1" applyAlignment="1" applyProtection="1">
      <alignment horizontal="center" vertical="center"/>
      <protection locked="0" hidden="1"/>
    </xf>
    <xf numFmtId="0" fontId="0" fillId="3" borderId="0" xfId="0" applyFill="1" applyBorder="1" applyAlignment="1" applyProtection="1">
      <alignment horizontal="left" vertical="center"/>
      <protection hidden="1"/>
    </xf>
    <xf numFmtId="9" fontId="0" fillId="2" borderId="5" xfId="0" applyNumberFormat="1" applyFill="1" applyBorder="1" applyAlignment="1" applyProtection="1">
      <alignment horizontal="center"/>
      <protection locked="0" hidden="1"/>
    </xf>
    <xf numFmtId="9" fontId="0" fillId="3" borderId="0" xfId="0" applyNumberFormat="1" applyFill="1" applyBorder="1" applyAlignment="1" applyProtection="1">
      <alignment horizontal="left"/>
      <protection hidden="1"/>
    </xf>
    <xf numFmtId="1" fontId="0" fillId="5" borderId="5" xfId="0" applyNumberFormat="1" applyFill="1" applyBorder="1" applyAlignment="1" applyProtection="1">
      <alignment horizontal="center"/>
      <protection hidden="1"/>
    </xf>
    <xf numFmtId="0" fontId="7" fillId="3" borderId="0" xfId="0" applyFont="1" applyFill="1" applyBorder="1" applyProtection="1">
      <protection hidden="1"/>
    </xf>
    <xf numFmtId="0" fontId="0" fillId="2" borderId="5" xfId="0" applyFill="1" applyBorder="1" applyAlignment="1" applyProtection="1">
      <alignment horizontal="center"/>
      <protection locked="0" hidden="1"/>
    </xf>
    <xf numFmtId="165" fontId="0" fillId="2" borderId="5" xfId="0" applyNumberFormat="1" applyFill="1" applyBorder="1" applyAlignment="1" applyProtection="1">
      <alignment horizontal="center"/>
      <protection locked="0" hidden="1"/>
    </xf>
    <xf numFmtId="170" fontId="0" fillId="2" borderId="5" xfId="0" applyNumberFormat="1" applyFill="1" applyBorder="1" applyAlignment="1" applyProtection="1">
      <alignment horizontal="center"/>
      <protection locked="0" hidden="1"/>
    </xf>
    <xf numFmtId="0" fontId="0" fillId="5" borderId="5" xfId="0" applyFill="1" applyBorder="1" applyAlignment="1" applyProtection="1">
      <alignment horizontal="center"/>
      <protection hidden="1"/>
    </xf>
    <xf numFmtId="0" fontId="0" fillId="4" borderId="8" xfId="0" applyFill="1" applyBorder="1" applyProtection="1">
      <protection hidden="1"/>
    </xf>
    <xf numFmtId="0" fontId="0" fillId="3" borderId="0" xfId="0" applyFill="1" applyBorder="1" applyAlignment="1" applyProtection="1">
      <alignment horizontal="center"/>
      <protection hidden="1"/>
    </xf>
    <xf numFmtId="171" fontId="0" fillId="3" borderId="5" xfId="0" applyNumberFormat="1" applyFill="1" applyBorder="1" applyAlignment="1" applyProtection="1">
      <alignment horizontal="center"/>
      <protection locked="0" hidden="1"/>
    </xf>
    <xf numFmtId="0" fontId="0" fillId="4" borderId="9" xfId="0" applyFill="1" applyBorder="1" applyProtection="1">
      <protection hidden="1"/>
    </xf>
    <xf numFmtId="0" fontId="0" fillId="3" borderId="2" xfId="0" applyFill="1" applyBorder="1" applyProtection="1">
      <protection hidden="1"/>
    </xf>
    <xf numFmtId="0" fontId="12" fillId="4" borderId="0" xfId="0" applyFont="1" applyFill="1" applyBorder="1" applyProtection="1">
      <protection hidden="1"/>
    </xf>
    <xf numFmtId="164" fontId="0" fillId="0" borderId="0" xfId="0" applyNumberFormat="1"/>
    <xf numFmtId="174" fontId="0" fillId="5" borderId="5" xfId="0" applyNumberFormat="1" applyFill="1" applyBorder="1" applyAlignment="1" applyProtection="1">
      <alignment horizontal="center"/>
      <protection hidden="1"/>
    </xf>
    <xf numFmtId="0" fontId="12" fillId="3" borderId="0" xfId="0" applyFont="1" applyFill="1" applyBorder="1" applyAlignment="1" applyProtection="1">
      <alignment vertical="top"/>
      <protection hidden="1"/>
    </xf>
    <xf numFmtId="169" fontId="0" fillId="2" borderId="5" xfId="0" applyNumberFormat="1" applyFill="1" applyBorder="1" applyAlignment="1" applyProtection="1">
      <alignment horizontal="center"/>
      <protection locked="0" hidden="1"/>
    </xf>
    <xf numFmtId="164" fontId="0" fillId="3" borderId="5" xfId="0" applyNumberFormat="1" applyFill="1" applyBorder="1" applyAlignment="1" applyProtection="1">
      <alignment horizontal="center"/>
      <protection locked="0" hidden="1"/>
    </xf>
    <xf numFmtId="0" fontId="0" fillId="3" borderId="0" xfId="0" applyFill="1" applyBorder="1" applyAlignment="1" applyProtection="1">
      <alignment horizontal="right"/>
      <protection hidden="1"/>
    </xf>
    <xf numFmtId="172" fontId="14" fillId="0" borderId="5" xfId="0" applyNumberFormat="1" applyFont="1" applyFill="1" applyBorder="1" applyAlignment="1" applyProtection="1">
      <alignment horizontal="center"/>
      <protection locked="0" hidden="1"/>
    </xf>
    <xf numFmtId="0" fontId="0" fillId="0" borderId="0" xfId="0" applyAlignment="1">
      <alignment vertical="center"/>
    </xf>
    <xf numFmtId="9" fontId="0" fillId="0" borderId="0" xfId="0" applyNumberFormat="1" applyAlignment="1">
      <alignment vertical="center"/>
    </xf>
    <xf numFmtId="0" fontId="0" fillId="3" borderId="40" xfId="0" applyFill="1" applyBorder="1" applyAlignment="1" applyProtection="1">
      <alignment horizontal="center"/>
      <protection hidden="1"/>
    </xf>
    <xf numFmtId="164" fontId="4" fillId="5" borderId="41" xfId="0" applyNumberFormat="1" applyFont="1" applyFill="1" applyBorder="1" applyAlignment="1" applyProtection="1">
      <alignment horizontal="center"/>
      <protection hidden="1"/>
    </xf>
    <xf numFmtId="9" fontId="4" fillId="5" borderId="42" xfId="0" applyNumberFormat="1" applyFont="1" applyFill="1" applyBorder="1" applyAlignment="1" applyProtection="1">
      <alignment horizontal="center"/>
      <protection hidden="1"/>
    </xf>
    <xf numFmtId="164" fontId="4" fillId="5" borderId="42" xfId="0" applyNumberFormat="1" applyFont="1" applyFill="1" applyBorder="1" applyAlignment="1" applyProtection="1">
      <alignment horizontal="center"/>
      <protection hidden="1"/>
    </xf>
    <xf numFmtId="166" fontId="4" fillId="5" borderId="39" xfId="0" applyNumberFormat="1" applyFont="1" applyFill="1" applyBorder="1" applyAlignment="1" applyProtection="1">
      <alignment horizontal="center"/>
      <protection hidden="1"/>
    </xf>
    <xf numFmtId="4" fontId="0" fillId="0" borderId="0" xfId="0" applyNumberFormat="1"/>
    <xf numFmtId="172" fontId="0" fillId="0" borderId="0" xfId="0" applyNumberFormat="1"/>
    <xf numFmtId="175" fontId="0" fillId="0" borderId="0" xfId="0" applyNumberFormat="1"/>
    <xf numFmtId="0" fontId="0" fillId="5" borderId="0" xfId="0" applyFill="1" applyProtection="1">
      <protection locked="0"/>
    </xf>
    <xf numFmtId="0" fontId="0" fillId="9" borderId="0" xfId="0" applyFill="1" applyBorder="1" applyProtection="1">
      <protection hidden="1"/>
    </xf>
    <xf numFmtId="0" fontId="16" fillId="3" borderId="35" xfId="0" applyFont="1" applyFill="1" applyBorder="1" applyProtection="1">
      <protection hidden="1"/>
    </xf>
    <xf numFmtId="164" fontId="17" fillId="5" borderId="42" xfId="0" applyNumberFormat="1" applyFont="1" applyFill="1" applyBorder="1" applyAlignment="1" applyProtection="1">
      <alignment horizontal="center"/>
      <protection hidden="1"/>
    </xf>
    <xf numFmtId="164" fontId="17" fillId="6" borderId="12" xfId="0" applyNumberFormat="1" applyFont="1" applyFill="1" applyBorder="1" applyAlignment="1" applyProtection="1">
      <alignment horizontal="center"/>
      <protection hidden="1"/>
    </xf>
    <xf numFmtId="164" fontId="17" fillId="7" borderId="5" xfId="0" applyNumberFormat="1" applyFont="1" applyFill="1" applyBorder="1" applyAlignment="1" applyProtection="1">
      <alignment horizontal="center"/>
      <protection hidden="1"/>
    </xf>
    <xf numFmtId="164" fontId="17" fillId="8" borderId="14" xfId="0" applyNumberFormat="1" applyFont="1" applyFill="1" applyBorder="1" applyAlignment="1" applyProtection="1">
      <alignment horizontal="center"/>
      <protection hidden="1"/>
    </xf>
    <xf numFmtId="164" fontId="17" fillId="8" borderId="19" xfId="0" applyNumberFormat="1" applyFont="1" applyFill="1" applyBorder="1" applyAlignment="1" applyProtection="1">
      <alignment horizontal="center"/>
      <protection hidden="1"/>
    </xf>
    <xf numFmtId="0" fontId="16" fillId="3" borderId="36" xfId="0" applyFont="1" applyFill="1" applyBorder="1" applyProtection="1">
      <protection hidden="1"/>
    </xf>
    <xf numFmtId="174" fontId="4" fillId="5" borderId="42" xfId="0" applyNumberFormat="1" applyFont="1" applyFill="1" applyBorder="1" applyAlignment="1" applyProtection="1">
      <alignment horizontal="center"/>
      <protection hidden="1"/>
    </xf>
    <xf numFmtId="174" fontId="4" fillId="6" borderId="12" xfId="0" applyNumberFormat="1" applyFont="1" applyFill="1" applyBorder="1" applyAlignment="1" applyProtection="1">
      <alignment horizontal="center"/>
      <protection hidden="1"/>
    </xf>
    <xf numFmtId="174" fontId="4" fillId="7" borderId="5" xfId="0" applyNumberFormat="1" applyFont="1" applyFill="1" applyBorder="1" applyAlignment="1" applyProtection="1">
      <alignment horizontal="center"/>
      <protection hidden="1"/>
    </xf>
    <xf numFmtId="174" fontId="4" fillId="8" borderId="14" xfId="0" applyNumberFormat="1" applyFont="1" applyFill="1" applyBorder="1" applyAlignment="1" applyProtection="1">
      <alignment horizontal="center"/>
      <protection hidden="1"/>
    </xf>
    <xf numFmtId="174" fontId="4" fillId="8" borderId="19" xfId="0" applyNumberFormat="1" applyFont="1" applyFill="1" applyBorder="1" applyAlignment="1" applyProtection="1">
      <alignment horizontal="center"/>
      <protection hidden="1"/>
    </xf>
    <xf numFmtId="174" fontId="17" fillId="5" borderId="40" xfId="0" applyNumberFormat="1" applyFont="1" applyFill="1" applyBorder="1" applyAlignment="1" applyProtection="1">
      <alignment horizontal="center"/>
      <protection hidden="1"/>
    </xf>
    <xf numFmtId="174" fontId="17" fillId="6" borderId="28" xfId="0" applyNumberFormat="1" applyFont="1" applyFill="1" applyBorder="1" applyAlignment="1" applyProtection="1">
      <alignment horizontal="center"/>
      <protection hidden="1"/>
    </xf>
    <xf numFmtId="174" fontId="17" fillId="7" borderId="26" xfId="0" applyNumberFormat="1" applyFont="1" applyFill="1" applyBorder="1" applyAlignment="1" applyProtection="1">
      <alignment horizontal="center"/>
      <protection hidden="1"/>
    </xf>
    <xf numFmtId="174" fontId="17" fillId="8" borderId="30" xfId="0" applyNumberFormat="1" applyFont="1" applyFill="1" applyBorder="1" applyAlignment="1" applyProtection="1">
      <alignment horizontal="center"/>
      <protection hidden="1"/>
    </xf>
    <xf numFmtId="174" fontId="17" fillId="8" borderId="31" xfId="0" applyNumberFormat="1" applyFont="1" applyFill="1" applyBorder="1" applyAlignment="1" applyProtection="1">
      <alignment horizontal="center"/>
      <protection hidden="1"/>
    </xf>
    <xf numFmtId="176" fontId="4" fillId="5" borderId="42" xfId="0" applyNumberFormat="1" applyFont="1" applyFill="1" applyBorder="1" applyAlignment="1" applyProtection="1">
      <alignment horizontal="center"/>
      <protection hidden="1"/>
    </xf>
    <xf numFmtId="176" fontId="4" fillId="6" borderId="12" xfId="0" applyNumberFormat="1" applyFont="1" applyFill="1" applyBorder="1" applyAlignment="1" applyProtection="1">
      <alignment horizontal="center"/>
      <protection hidden="1"/>
    </xf>
    <xf numFmtId="176" fontId="4" fillId="7" borderId="5" xfId="0" applyNumberFormat="1" applyFont="1" applyFill="1" applyBorder="1" applyAlignment="1" applyProtection="1">
      <alignment horizontal="center"/>
      <protection hidden="1"/>
    </xf>
    <xf numFmtId="176" fontId="4" fillId="8" borderId="14" xfId="0" applyNumberFormat="1" applyFont="1" applyFill="1" applyBorder="1" applyAlignment="1" applyProtection="1">
      <alignment horizontal="center"/>
      <protection hidden="1"/>
    </xf>
    <xf numFmtId="176" fontId="4" fillId="8" borderId="19" xfId="0" applyNumberFormat="1" applyFont="1" applyFill="1" applyBorder="1" applyAlignment="1" applyProtection="1">
      <alignment horizontal="center"/>
      <protection hidden="1"/>
    </xf>
    <xf numFmtId="177" fontId="0" fillId="0" borderId="0" xfId="0" applyNumberFormat="1"/>
    <xf numFmtId="0" fontId="3" fillId="3" borderId="32" xfId="0" applyFont="1" applyFill="1" applyBorder="1" applyAlignment="1" applyProtection="1">
      <alignment vertical="center"/>
      <protection hidden="1"/>
    </xf>
    <xf numFmtId="0" fontId="3" fillId="0" borderId="33" xfId="0" applyFont="1" applyBorder="1" applyAlignment="1" applyProtection="1">
      <alignment vertical="center"/>
      <protection hidden="1"/>
    </xf>
    <xf numFmtId="0" fontId="13" fillId="4" borderId="10" xfId="0" applyFont="1" applyFill="1" applyBorder="1" applyAlignment="1" applyProtection="1">
      <alignment horizontal="left" vertical="center" wrapText="1"/>
      <protection hidden="1"/>
    </xf>
    <xf numFmtId="0" fontId="13" fillId="0" borderId="10" xfId="0" applyFont="1" applyBorder="1" applyAlignment="1" applyProtection="1">
      <alignment horizontal="left"/>
      <protection hidden="1"/>
    </xf>
  </cellXfs>
  <cellStyles count="3">
    <cellStyle name="Standard" xfId="0" builtinId="0"/>
    <cellStyle name="Standard 2" xfId="2"/>
    <cellStyle name="Standard 3" xfId="1"/>
  </cellStyles>
  <dxfs count="78">
    <dxf>
      <font>
        <color theme="0"/>
      </font>
    </dxf>
    <dxf>
      <font>
        <color theme="0"/>
      </font>
    </dxf>
    <dxf>
      <font>
        <color theme="0"/>
      </font>
    </dxf>
    <dxf>
      <font>
        <color theme="0"/>
      </font>
    </dxf>
    <dxf>
      <font>
        <color theme="0" tint="-0.14996795556505021"/>
      </font>
    </dxf>
    <dxf>
      <fill>
        <patternFill>
          <bgColor theme="0"/>
        </patternFill>
      </fill>
    </dxf>
    <dxf>
      <fill>
        <patternFill>
          <bgColor rgb="FFFFFF00"/>
        </patternFill>
      </fill>
    </dxf>
    <dxf>
      <font>
        <color theme="1"/>
      </font>
    </dxf>
    <dxf>
      <font>
        <color theme="0"/>
      </font>
    </dxf>
    <dxf>
      <fill>
        <patternFill>
          <bgColor theme="0"/>
        </patternFill>
      </fill>
    </dxf>
    <dxf>
      <font>
        <color theme="0" tint="-0.14996795556505021"/>
      </font>
    </dxf>
    <dxf>
      <fill>
        <patternFill>
          <bgColor theme="0"/>
        </patternFill>
      </fill>
    </dxf>
    <dxf>
      <font>
        <color theme="1"/>
      </font>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14996795556505021"/>
      </font>
    </dxf>
    <dxf>
      <font>
        <color theme="0" tint="-0.14996795556505021"/>
      </font>
    </dxf>
    <dxf>
      <font>
        <color theme="0"/>
      </font>
    </dxf>
    <dxf>
      <font>
        <color auto="1"/>
      </font>
    </dxf>
    <dxf>
      <fill>
        <patternFill>
          <bgColor rgb="FF00FF00"/>
        </patternFill>
      </fill>
    </dxf>
    <dxf>
      <font>
        <color theme="0"/>
      </font>
    </dxf>
    <dxf>
      <fill>
        <patternFill patternType="none">
          <bgColor auto="1"/>
        </patternFill>
      </fill>
    </dxf>
    <dxf>
      <font>
        <color theme="0" tint="-0.14996795556505021"/>
      </font>
    </dxf>
    <dxf>
      <font>
        <color theme="0" tint="-0.14996795556505021"/>
      </font>
    </dxf>
    <dxf>
      <fill>
        <patternFill>
          <bgColor theme="0"/>
        </patternFill>
      </fill>
    </dxf>
    <dxf>
      <font>
        <color theme="0"/>
      </font>
    </dxf>
    <dxf>
      <font>
        <color theme="0"/>
      </font>
    </dxf>
    <dxf>
      <font>
        <color theme="0"/>
      </font>
    </dxf>
    <dxf>
      <font>
        <color theme="0" tint="-0.14996795556505021"/>
      </font>
    </dxf>
    <dxf>
      <fill>
        <patternFill>
          <bgColor rgb="FF00FF00"/>
        </patternFill>
      </fill>
    </dxf>
    <dxf>
      <font>
        <color theme="0"/>
      </font>
    </dxf>
    <dxf>
      <font>
        <color theme="0" tint="-0.14996795556505021"/>
      </font>
    </dxf>
    <dxf>
      <font>
        <color theme="0" tint="-0.14996795556505021"/>
      </font>
    </dxf>
    <dxf>
      <fill>
        <patternFill patternType="none">
          <bgColor auto="1"/>
        </patternFill>
      </fill>
    </dxf>
    <dxf>
      <font>
        <color theme="0" tint="-0.14996795556505021"/>
      </font>
    </dxf>
    <dxf>
      <fill>
        <patternFill>
          <bgColor rgb="FF00FF00"/>
        </patternFill>
      </fill>
    </dxf>
    <dxf>
      <font>
        <color theme="0" tint="-0.14996795556505021"/>
      </font>
    </dxf>
    <dxf>
      <fill>
        <patternFill>
          <bgColor rgb="FF00FF00"/>
        </patternFill>
      </fill>
    </dxf>
    <dxf>
      <fill>
        <patternFill>
          <bgColor rgb="FF00FF00"/>
        </patternFill>
      </fill>
    </dxf>
    <dxf>
      <font>
        <color theme="0" tint="-0.14996795556505021"/>
      </font>
    </dxf>
    <dxf>
      <fill>
        <patternFill patternType="none">
          <bgColor auto="1"/>
        </patternFill>
      </fill>
    </dxf>
    <dxf>
      <font>
        <color theme="0" tint="-0.14996795556505021"/>
      </font>
    </dxf>
    <dxf>
      <fill>
        <patternFill patternType="none">
          <bgColor auto="1"/>
        </patternFill>
      </fill>
    </dxf>
    <dxf>
      <font>
        <color theme="0" tint="-0.14996795556505021"/>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tint="-0.14996795556505021"/>
      </font>
    </dxf>
    <dxf>
      <font>
        <color theme="0" tint="-0.14996795556505021"/>
      </font>
    </dxf>
    <dxf>
      <font>
        <color theme="0" tint="-0.14996795556505021"/>
      </font>
    </dxf>
    <dxf>
      <fill>
        <patternFill patternType="none">
          <bgColor auto="1"/>
        </patternFill>
      </fill>
    </dxf>
  </dxfs>
  <tableStyles count="0" defaultTableStyle="TableStyleMedium2" defaultPivotStyle="PivotStyleLight16"/>
  <colors>
    <mruColors>
      <color rgb="FF00FF00"/>
      <color rgb="FF0000FF"/>
      <color rgb="FFCCFF33"/>
      <color rgb="FFFFCC00"/>
      <color rgb="FFFFFF66"/>
      <color rgb="FFFFFFFF"/>
      <color rgb="FFFF66CC"/>
      <color rgb="FFFF9900"/>
      <color rgb="FF66FF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5" dropStyle="combo" dx="16" fmlaLink="$B$2" fmlaRange="$B$3:$B$7" sel="3" val="0"/>
</file>

<file path=xl/ctrlProps/ctrlProp10.xml><?xml version="1.0" encoding="utf-8"?>
<formControlPr xmlns="http://schemas.microsoft.com/office/spreadsheetml/2009/9/main" objectType="Drop" dropLines="2" dropStyle="combo" dx="16" fmlaLink="$B$51" fmlaRange="$B$52:$B$53" val="0"/>
</file>

<file path=xl/ctrlProps/ctrlProp11.xml><?xml version="1.0" encoding="utf-8"?>
<formControlPr xmlns="http://schemas.microsoft.com/office/spreadsheetml/2009/9/main" objectType="Drop" dropLines="2" dropStyle="combo" dx="16" fmlaLink="$B$54" fmlaRange="$B$55:$B$56" val="0"/>
</file>

<file path=xl/ctrlProps/ctrlProp12.xml><?xml version="1.0" encoding="utf-8"?>
<formControlPr xmlns="http://schemas.microsoft.com/office/spreadsheetml/2009/9/main" objectType="Drop" dropLines="16" dropStyle="combo" dx="16" fmlaLink="$B$59" fmlaRange="$B$60:$B$75" val="0"/>
</file>

<file path=xl/ctrlProps/ctrlProp13.xml><?xml version="1.0" encoding="utf-8"?>
<formControlPr xmlns="http://schemas.microsoft.com/office/spreadsheetml/2009/9/main" objectType="Drop" dropLines="2" dropStyle="combo" dx="16" fmlaLink="$B$79" fmlaRange="$B$80:$B$81" val="0"/>
</file>

<file path=xl/ctrlProps/ctrlProp14.xml><?xml version="1.0" encoding="utf-8"?>
<formControlPr xmlns="http://schemas.microsoft.com/office/spreadsheetml/2009/9/main" objectType="Drop" dropLines="3" dropStyle="combo" dx="16" fmlaLink="$B$85" fmlaRange="$B$86:$B$88" val="0"/>
</file>

<file path=xl/ctrlProps/ctrlProp15.xml><?xml version="1.0" encoding="utf-8"?>
<formControlPr xmlns="http://schemas.microsoft.com/office/spreadsheetml/2009/9/main" objectType="Spin" dx="16" fmlaLink="$X$36" inc="5" max="95" min="40" page="10" val="75"/>
</file>

<file path=xl/ctrlProps/ctrlProp16.xml><?xml version="1.0" encoding="utf-8"?>
<formControlPr xmlns="http://schemas.microsoft.com/office/spreadsheetml/2009/9/main" objectType="Spin" dx="16" fmlaLink="$X$32" max="16" min="4" page="10" val="5"/>
</file>

<file path=xl/ctrlProps/ctrlProp17.xml><?xml version="1.0" encoding="utf-8"?>
<formControlPr xmlns="http://schemas.microsoft.com/office/spreadsheetml/2009/9/main" objectType="Drop" dropLines="2" dropStyle="combo" dx="16" fmlaLink="$B$82" fmlaRange="$B83:$B$84" sel="2" val="0"/>
</file>

<file path=xl/ctrlProps/ctrlProp18.xml><?xml version="1.0" encoding="utf-8"?>
<formControlPr xmlns="http://schemas.microsoft.com/office/spreadsheetml/2009/9/main" objectType="CheckBox" checked="Checked" fmlaLink="$J$32" lockText="1" noThreeD="1"/>
</file>

<file path=xl/ctrlProps/ctrlProp19.xml><?xml version="1.0" encoding="utf-8"?>
<formControlPr xmlns="http://schemas.microsoft.com/office/spreadsheetml/2009/9/main" objectType="Drop" dropLines="4" dropStyle="combo" dx="16" fmlaLink="$B$170" fmlaRange="$B171:$B$174" val="0"/>
</file>

<file path=xl/ctrlProps/ctrlProp2.xml><?xml version="1.0" encoding="utf-8"?>
<formControlPr xmlns="http://schemas.microsoft.com/office/spreadsheetml/2009/9/main" objectType="Drop" dropLines="7" dropStyle="combo" dx="16" fmlaLink="$B$161" fmlaRange="$E$162:$E$168" val="0"/>
</file>

<file path=xl/ctrlProps/ctrlProp3.xml><?xml version="1.0" encoding="utf-8"?>
<formControlPr xmlns="http://schemas.microsoft.com/office/spreadsheetml/2009/9/main" objectType="Drop" dropLines="2" dropStyle="combo" dx="16" fmlaLink="$B$90" fmlaRange="$B$15:$B$16" val="0"/>
</file>

<file path=xl/ctrlProps/ctrlProp4.xml><?xml version="1.0" encoding="utf-8"?>
<formControlPr xmlns="http://schemas.microsoft.com/office/spreadsheetml/2009/9/main" objectType="Drop" dropLines="2" dropStyle="combo" dx="16" fmlaLink="$B$37" fmlaRange="$B$38:$B$39" val="0"/>
</file>

<file path=xl/ctrlProps/ctrlProp5.xml><?xml version="1.0" encoding="utf-8"?>
<formControlPr xmlns="http://schemas.microsoft.com/office/spreadsheetml/2009/9/main" objectType="Drop" dropLines="2" dropStyle="combo" dx="16" fmlaLink="$B$8" fmlaRange="$B$9:$B$10" sel="2" val="0"/>
</file>

<file path=xl/ctrlProps/ctrlProp6.xml><?xml version="1.0" encoding="utf-8"?>
<formControlPr xmlns="http://schemas.microsoft.com/office/spreadsheetml/2009/9/main" objectType="Drop" dropLines="2" dropStyle="combo" dx="16" fmlaLink="$B$11" fmlaRange="$B$12:$B$13" sel="2" val="0"/>
</file>

<file path=xl/ctrlProps/ctrlProp7.xml><?xml version="1.0" encoding="utf-8"?>
<formControlPr xmlns="http://schemas.microsoft.com/office/spreadsheetml/2009/9/main" objectType="Drop" dropLines="16" dropStyle="combo" dx="16" fmlaLink="$B$18" fmlaRange="$B$19:$B$34" sel="10" val="0"/>
</file>

<file path=xl/ctrlProps/ctrlProp8.xml><?xml version="1.0" encoding="utf-8"?>
<formControlPr xmlns="http://schemas.microsoft.com/office/spreadsheetml/2009/9/main" objectType="Drop" dropLines="2" dropStyle="combo" dx="16" fmlaLink="$B$45" fmlaRange="$B$46:$B$47" val="0"/>
</file>

<file path=xl/ctrlProps/ctrlProp9.xml><?xml version="1.0" encoding="utf-8"?>
<formControlPr xmlns="http://schemas.microsoft.com/office/spreadsheetml/2009/9/main" objectType="Drop" dropLines="2" dropStyle="combo" dx="16" fmlaLink="$B$48" fmlaRange="$B$49:$B$5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9525</xdr:colOff>
          <xdr:row>14</xdr:row>
          <xdr:rowOff>133350</xdr:rowOff>
        </xdr:from>
        <xdr:to>
          <xdr:col>22</xdr:col>
          <xdr:colOff>333375</xdr:colOff>
          <xdr:row>16</xdr:row>
          <xdr:rowOff>0</xdr:rowOff>
        </xdr:to>
        <xdr:sp macro="" textlink="">
          <xdr:nvSpPr>
            <xdr:cNvPr id="6145" name="Drop Down 1" hidden="1">
              <a:extLst>
                <a:ext uri="{63B3BB69-23CF-44E3-9099-C40C66FF867C}">
                  <a14:compatExt spid="_x0000_s61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0</xdr:rowOff>
        </xdr:from>
        <xdr:to>
          <xdr:col>22</xdr:col>
          <xdr:colOff>314325</xdr:colOff>
          <xdr:row>26</xdr:row>
          <xdr:rowOff>28575</xdr:rowOff>
        </xdr:to>
        <xdr:sp macro="" textlink="">
          <xdr:nvSpPr>
            <xdr:cNvPr id="6146" name="Drop Down 2" hidden="1">
              <a:extLst>
                <a:ext uri="{63B3BB69-23CF-44E3-9099-C40C66FF867C}">
                  <a14:compatExt spid="_x0000_s61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323850</xdr:colOff>
          <xdr:row>16</xdr:row>
          <xdr:rowOff>38100</xdr:rowOff>
        </xdr:from>
        <xdr:to>
          <xdr:col>22</xdr:col>
          <xdr:colOff>819150</xdr:colOff>
          <xdr:row>17</xdr:row>
          <xdr:rowOff>152400</xdr:rowOff>
        </xdr:to>
        <xdr:sp macro="" textlink="">
          <xdr:nvSpPr>
            <xdr:cNvPr id="6147" name="Drop Down 3" hidden="1">
              <a:extLst>
                <a:ext uri="{63B3BB69-23CF-44E3-9099-C40C66FF867C}">
                  <a14:compatExt spid="_x0000_s6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0</xdr:rowOff>
        </xdr:from>
        <xdr:to>
          <xdr:col>22</xdr:col>
          <xdr:colOff>323850</xdr:colOff>
          <xdr:row>28</xdr:row>
          <xdr:rowOff>28575</xdr:rowOff>
        </xdr:to>
        <xdr:sp macro="" textlink="">
          <xdr:nvSpPr>
            <xdr:cNvPr id="6148" name="Drop Down 4" hidden="1">
              <a:extLst>
                <a:ext uri="{63B3BB69-23CF-44E3-9099-C40C66FF867C}">
                  <a14:compatExt spid="_x0000_s6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0</xdr:rowOff>
        </xdr:from>
        <xdr:to>
          <xdr:col>22</xdr:col>
          <xdr:colOff>333375</xdr:colOff>
          <xdr:row>22</xdr:row>
          <xdr:rowOff>28575</xdr:rowOff>
        </xdr:to>
        <xdr:sp macro="" textlink="">
          <xdr:nvSpPr>
            <xdr:cNvPr id="6149" name="Drop Down 5" hidden="1">
              <a:extLst>
                <a:ext uri="{63B3BB69-23CF-44E3-9099-C40C66FF867C}">
                  <a14:compatExt spid="_x0000_s61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xdr:row>
          <xdr:rowOff>142875</xdr:rowOff>
        </xdr:from>
        <xdr:to>
          <xdr:col>22</xdr:col>
          <xdr:colOff>314325</xdr:colOff>
          <xdr:row>24</xdr:row>
          <xdr:rowOff>28575</xdr:rowOff>
        </xdr:to>
        <xdr:sp macro="" textlink="">
          <xdr:nvSpPr>
            <xdr:cNvPr id="6151" name="Drop Down 7" hidden="1">
              <a:extLst>
                <a:ext uri="{63B3BB69-23CF-44E3-9099-C40C66FF867C}">
                  <a14:compatExt spid="_x0000_s6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0</xdr:rowOff>
        </xdr:from>
        <xdr:to>
          <xdr:col>22</xdr:col>
          <xdr:colOff>333375</xdr:colOff>
          <xdr:row>20</xdr:row>
          <xdr:rowOff>9525</xdr:rowOff>
        </xdr:to>
        <xdr:sp macro="" textlink="">
          <xdr:nvSpPr>
            <xdr:cNvPr id="6152" name="Drop Down 8" hidden="1">
              <a:extLst>
                <a:ext uri="{63B3BB69-23CF-44E3-9099-C40C66FF867C}">
                  <a14:compatExt spid="_x0000_s61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76200</xdr:rowOff>
        </xdr:from>
        <xdr:to>
          <xdr:col>22</xdr:col>
          <xdr:colOff>314325</xdr:colOff>
          <xdr:row>30</xdr:row>
          <xdr:rowOff>9525</xdr:rowOff>
        </xdr:to>
        <xdr:sp macro="" textlink="">
          <xdr:nvSpPr>
            <xdr:cNvPr id="6153" name="Drop Down 9" hidden="1">
              <a:extLst>
                <a:ext uri="{63B3BB69-23CF-44E3-9099-C40C66FF867C}">
                  <a14:compatExt spid="_x0000_s61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85725</xdr:rowOff>
        </xdr:from>
        <xdr:to>
          <xdr:col>22</xdr:col>
          <xdr:colOff>323850</xdr:colOff>
          <xdr:row>34</xdr:row>
          <xdr:rowOff>19050</xdr:rowOff>
        </xdr:to>
        <xdr:sp macro="" textlink="">
          <xdr:nvSpPr>
            <xdr:cNvPr id="6157" name="Drop Down 13" hidden="1">
              <a:extLst>
                <a:ext uri="{63B3BB69-23CF-44E3-9099-C40C66FF867C}">
                  <a14:compatExt spid="_x0000_s61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0</xdr:rowOff>
        </xdr:from>
        <xdr:to>
          <xdr:col>22</xdr:col>
          <xdr:colOff>333375</xdr:colOff>
          <xdr:row>36</xdr:row>
          <xdr:rowOff>28575</xdr:rowOff>
        </xdr:to>
        <xdr:sp macro="" textlink="">
          <xdr:nvSpPr>
            <xdr:cNvPr id="6158" name="Drop Down 14" hidden="1">
              <a:extLst>
                <a:ext uri="{63B3BB69-23CF-44E3-9099-C40C66FF867C}">
                  <a14:compatExt spid="_x0000_s61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37</xdr:row>
          <xdr:rowOff>19050</xdr:rowOff>
        </xdr:from>
        <xdr:to>
          <xdr:col>22</xdr:col>
          <xdr:colOff>342900</xdr:colOff>
          <xdr:row>38</xdr:row>
          <xdr:rowOff>47625</xdr:rowOff>
        </xdr:to>
        <xdr:sp macro="" textlink="">
          <xdr:nvSpPr>
            <xdr:cNvPr id="6159" name="Drop Down 15" hidden="1">
              <a:extLst>
                <a:ext uri="{63B3BB69-23CF-44E3-9099-C40C66FF867C}">
                  <a14:compatExt spid="_x0000_s61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38100</xdr:rowOff>
        </xdr:from>
        <xdr:to>
          <xdr:col>22</xdr:col>
          <xdr:colOff>333375</xdr:colOff>
          <xdr:row>17</xdr:row>
          <xdr:rowOff>133350</xdr:rowOff>
        </xdr:to>
        <xdr:sp macro="" textlink="">
          <xdr:nvSpPr>
            <xdr:cNvPr id="6344" name="Drop Down 200" hidden="1">
              <a:extLst>
                <a:ext uri="{63B3BB69-23CF-44E3-9099-C40C66FF867C}">
                  <a14:compatExt spid="_x0000_s63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39</xdr:row>
          <xdr:rowOff>85725</xdr:rowOff>
        </xdr:from>
        <xdr:to>
          <xdr:col>22</xdr:col>
          <xdr:colOff>323850</xdr:colOff>
          <xdr:row>40</xdr:row>
          <xdr:rowOff>123825</xdr:rowOff>
        </xdr:to>
        <xdr:sp macro="" textlink="">
          <xdr:nvSpPr>
            <xdr:cNvPr id="6345" name="Drop Down 201" hidden="1">
              <a:extLst>
                <a:ext uri="{63B3BB69-23CF-44E3-9099-C40C66FF867C}">
                  <a14:compatExt spid="_x0000_s63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0</xdr:rowOff>
        </xdr:from>
        <xdr:to>
          <xdr:col>22</xdr:col>
          <xdr:colOff>323850</xdr:colOff>
          <xdr:row>43</xdr:row>
          <xdr:rowOff>19050</xdr:rowOff>
        </xdr:to>
        <xdr:sp macro="" textlink="">
          <xdr:nvSpPr>
            <xdr:cNvPr id="6347" name="Drop Down 203" hidden="1">
              <a:extLst>
                <a:ext uri="{63B3BB69-23CF-44E3-9099-C40C66FF867C}">
                  <a14:compatExt spid="_x0000_s63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733425</xdr:colOff>
          <xdr:row>34</xdr:row>
          <xdr:rowOff>85725</xdr:rowOff>
        </xdr:from>
        <xdr:to>
          <xdr:col>23</xdr:col>
          <xdr:colOff>38100</xdr:colOff>
          <xdr:row>36</xdr:row>
          <xdr:rowOff>66675</xdr:rowOff>
        </xdr:to>
        <xdr:sp macro="" textlink="">
          <xdr:nvSpPr>
            <xdr:cNvPr id="6368" name="Spinner 224" hidden="1">
              <a:extLst>
                <a:ext uri="{63B3BB69-23CF-44E3-9099-C40C66FF867C}">
                  <a14:compatExt spid="_x0000_s6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733425</xdr:colOff>
          <xdr:row>30</xdr:row>
          <xdr:rowOff>76200</xdr:rowOff>
        </xdr:from>
        <xdr:to>
          <xdr:col>23</xdr:col>
          <xdr:colOff>28575</xdr:colOff>
          <xdr:row>32</xdr:row>
          <xdr:rowOff>28575</xdr:rowOff>
        </xdr:to>
        <xdr:sp macro="" textlink="">
          <xdr:nvSpPr>
            <xdr:cNvPr id="6369" name="Spinner 225" hidden="1">
              <a:extLst>
                <a:ext uri="{63B3BB69-23CF-44E3-9099-C40C66FF867C}">
                  <a14:compatExt spid="_x0000_s6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46</xdr:row>
          <xdr:rowOff>66675</xdr:rowOff>
        </xdr:from>
        <xdr:to>
          <xdr:col>22</xdr:col>
          <xdr:colOff>342900</xdr:colOff>
          <xdr:row>48</xdr:row>
          <xdr:rowOff>28575</xdr:rowOff>
        </xdr:to>
        <xdr:sp macro="" textlink="">
          <xdr:nvSpPr>
            <xdr:cNvPr id="6374" name="Drop Down 230" hidden="1">
              <a:extLst>
                <a:ext uri="{63B3BB69-23CF-44E3-9099-C40C66FF867C}">
                  <a14:compatExt spid="_x0000_s637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704850</xdr:colOff>
          <xdr:row>24</xdr:row>
          <xdr:rowOff>28575</xdr:rowOff>
        </xdr:from>
        <xdr:to>
          <xdr:col>27</xdr:col>
          <xdr:colOff>504825</xdr:colOff>
          <xdr:row>26</xdr:row>
          <xdr:rowOff>9525</xdr:rowOff>
        </xdr:to>
        <xdr:sp macro="" textlink="">
          <xdr:nvSpPr>
            <xdr:cNvPr id="6376" name="Check Box 232" hidden="1">
              <a:extLst>
                <a:ext uri="{63B3BB69-23CF-44E3-9099-C40C66FF867C}">
                  <a14:compatExt spid="_x0000_s63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AGVO gilt für Antragsteller?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104775</xdr:rowOff>
        </xdr:from>
        <xdr:to>
          <xdr:col>22</xdr:col>
          <xdr:colOff>323850</xdr:colOff>
          <xdr:row>32</xdr:row>
          <xdr:rowOff>19050</xdr:rowOff>
        </xdr:to>
        <xdr:sp macro="" textlink="">
          <xdr:nvSpPr>
            <xdr:cNvPr id="6647" name="Drop Down 503" hidden="1">
              <a:extLst>
                <a:ext uri="{63B3BB69-23CF-44E3-9099-C40C66FF867C}">
                  <a14:compatExt spid="_x0000_s6647"/>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74"/>
  <sheetViews>
    <sheetView tabSelected="1" topLeftCell="S1" zoomScaleNormal="100" workbookViewId="0">
      <selection activeCell="AL23" sqref="AL23"/>
    </sheetView>
  </sheetViews>
  <sheetFormatPr baseColWidth="10" defaultRowHeight="12.75" x14ac:dyDescent="0.2"/>
  <cols>
    <col min="1" max="1" width="25.7109375" hidden="1" customWidth="1"/>
    <col min="2" max="2" width="18.85546875" hidden="1" customWidth="1"/>
    <col min="3" max="3" width="9.28515625" hidden="1" customWidth="1"/>
    <col min="4" max="4" width="9.5703125" hidden="1" customWidth="1"/>
    <col min="5" max="5" width="5.28515625" hidden="1" customWidth="1"/>
    <col min="6" max="6" width="5.85546875" hidden="1" customWidth="1"/>
    <col min="7" max="8" width="5.5703125" hidden="1" customWidth="1"/>
    <col min="9" max="9" width="5.7109375" hidden="1" customWidth="1"/>
    <col min="10" max="10" width="9.28515625" hidden="1" customWidth="1"/>
    <col min="11" max="12" width="5.7109375" hidden="1" customWidth="1"/>
    <col min="13" max="13" width="7.28515625" hidden="1" customWidth="1"/>
    <col min="14" max="16" width="7" hidden="1" customWidth="1"/>
    <col min="17" max="17" width="8" hidden="1" customWidth="1"/>
    <col min="18" max="18" width="7.5703125" hidden="1" customWidth="1"/>
    <col min="19" max="19" width="3.85546875" customWidth="1"/>
    <col min="20" max="20" width="37.28515625" customWidth="1"/>
    <col min="21" max="28" width="13.7109375" customWidth="1"/>
    <col min="29" max="29" width="3.5703125" customWidth="1"/>
    <col min="30" max="30" width="0" hidden="1" customWidth="1"/>
    <col min="31" max="31" width="12.28515625" hidden="1" customWidth="1"/>
    <col min="32" max="36" width="0" hidden="1" customWidth="1"/>
  </cols>
  <sheetData>
    <row r="1" spans="1:37" ht="13.5" thickBot="1" x14ac:dyDescent="0.25">
      <c r="A1" s="1">
        <v>45</v>
      </c>
      <c r="B1" t="s">
        <v>24</v>
      </c>
      <c r="C1">
        <f>IF(B59=16,AB18,X18)</f>
        <v>678</v>
      </c>
      <c r="D1" s="14">
        <f>C1*A$1/100</f>
        <v>305.10000000000002</v>
      </c>
      <c r="G1" t="s">
        <v>109</v>
      </c>
      <c r="H1" s="13">
        <v>0</v>
      </c>
      <c r="I1" s="13">
        <v>3</v>
      </c>
      <c r="J1" s="13">
        <v>7</v>
      </c>
      <c r="K1" s="13">
        <v>9</v>
      </c>
      <c r="L1" s="13">
        <v>10</v>
      </c>
      <c r="M1" s="13">
        <v>14</v>
      </c>
      <c r="N1" s="13">
        <v>15</v>
      </c>
      <c r="O1" s="13">
        <v>20</v>
      </c>
      <c r="P1" s="13">
        <v>40</v>
      </c>
      <c r="Q1" s="13">
        <v>100</v>
      </c>
      <c r="R1" s="1">
        <f>M16</f>
        <v>1000</v>
      </c>
      <c r="S1" s="19"/>
      <c r="T1" s="20"/>
      <c r="U1" s="20"/>
      <c r="V1" s="20"/>
      <c r="W1" s="20"/>
      <c r="X1" s="20"/>
      <c r="Y1" s="20"/>
      <c r="Z1" s="20"/>
      <c r="AA1" s="20"/>
      <c r="AB1" s="20"/>
      <c r="AC1" s="21"/>
    </row>
    <row r="2" spans="1:37" x14ac:dyDescent="0.2">
      <c r="A2" t="s">
        <v>9</v>
      </c>
      <c r="B2" s="6">
        <v>3</v>
      </c>
      <c r="C2" t="s">
        <v>19</v>
      </c>
      <c r="D2" t="s">
        <v>178</v>
      </c>
      <c r="E2" t="s">
        <v>111</v>
      </c>
      <c r="G2" t="s">
        <v>110</v>
      </c>
      <c r="H2">
        <f t="shared" ref="H2:L2" si="0">I1</f>
        <v>3</v>
      </c>
      <c r="I2">
        <f t="shared" si="0"/>
        <v>7</v>
      </c>
      <c r="J2">
        <f t="shared" si="0"/>
        <v>9</v>
      </c>
      <c r="K2">
        <f t="shared" si="0"/>
        <v>10</v>
      </c>
      <c r="L2">
        <f t="shared" si="0"/>
        <v>14</v>
      </c>
      <c r="M2">
        <f t="shared" ref="M2" si="1">N1</f>
        <v>15</v>
      </c>
      <c r="N2">
        <f t="shared" ref="N2" si="2">O1</f>
        <v>20</v>
      </c>
      <c r="O2">
        <f t="shared" ref="O2" si="3">P1</f>
        <v>40</v>
      </c>
      <c r="P2">
        <f t="shared" ref="P2" si="4">Q1</f>
        <v>100</v>
      </c>
      <c r="S2" s="22"/>
      <c r="T2" s="119" t="s">
        <v>222</v>
      </c>
      <c r="U2" s="23" t="str">
        <f>"   Förderung "&amp;IF(B59=16,"selbst definierter Kollektor","Kollektor "&amp;VLOOKUP(B59,$60:$76,2,FALSE))</f>
        <v xml:space="preserve">   Förderung Kollektor Plasma-CPC-VRK (Großanlagen)</v>
      </c>
      <c r="V2" s="24"/>
      <c r="W2" s="24"/>
      <c r="X2" s="25"/>
      <c r="Y2" s="23" t="str">
        <f>IF(B18=16,B34,"Vergleich: "&amp;VLOOKUP(B18,$19:$34,2,FALSE))</f>
        <v xml:space="preserve">Vergleich: guter FK mit selektivem Absorber </v>
      </c>
      <c r="Z2" s="26"/>
      <c r="AA2" s="24"/>
      <c r="AB2" s="27"/>
      <c r="AC2" s="28"/>
    </row>
    <row r="3" spans="1:37" ht="13.5" thickBot="1" x14ac:dyDescent="0.25">
      <c r="A3">
        <v>1</v>
      </c>
      <c r="B3" t="s">
        <v>3</v>
      </c>
      <c r="C3">
        <f>IF(R1&lt;=40,50,0)*IF(B8=1,0,1)</f>
        <v>0</v>
      </c>
      <c r="D3" s="15">
        <f>MIN(R1*50,2000)</f>
        <v>2000</v>
      </c>
      <c r="E3">
        <f>IF(R1&gt;=20,IF(B8=1,75,100),0)*IF(B11=1,0,1)</f>
        <v>100</v>
      </c>
      <c r="F3" s="2">
        <f>G3*IF(B$45=1,1,1.1)</f>
        <v>0.3</v>
      </c>
      <c r="G3" s="2">
        <v>0.3</v>
      </c>
      <c r="H3" s="4">
        <v>0</v>
      </c>
      <c r="I3" s="4">
        <f>500*IF($C3=0,0,1)</f>
        <v>0</v>
      </c>
      <c r="J3" s="4">
        <f>500*IF($C3=0,0,1)</f>
        <v>0</v>
      </c>
      <c r="K3" s="4">
        <f>500*IF($C3=0,0,1)</f>
        <v>0</v>
      </c>
      <c r="L3" s="4">
        <f t="shared" ref="L3:M3" si="5">$C3*L1</f>
        <v>0</v>
      </c>
      <c r="M3" s="4">
        <f t="shared" si="5"/>
        <v>0</v>
      </c>
      <c r="N3" s="4">
        <f>$C3*N1</f>
        <v>0</v>
      </c>
      <c r="O3" s="4">
        <f t="shared" ref="O3:P5" si="6">O$1*MAX($C3,$E3)</f>
        <v>2000</v>
      </c>
      <c r="P3" s="4">
        <f t="shared" si="6"/>
        <v>4000</v>
      </c>
      <c r="Q3" s="4">
        <f>Q$1*$E3</f>
        <v>10000</v>
      </c>
      <c r="R3" s="1">
        <f>IF(M10=0,IF(N$9=$R$1,N10,0),IF(N10=0,M10,TREND(M10:N10,M$9:N$9,$R$1)))</f>
        <v>10000</v>
      </c>
      <c r="S3" s="22"/>
      <c r="T3" s="120"/>
      <c r="U3" s="86" t="s">
        <v>14</v>
      </c>
      <c r="V3" s="30" t="s">
        <v>15</v>
      </c>
      <c r="W3" s="31" t="s">
        <v>16</v>
      </c>
      <c r="X3" s="29" t="s">
        <v>17</v>
      </c>
      <c r="Y3" s="86" t="s">
        <v>195</v>
      </c>
      <c r="Z3" s="30" t="s">
        <v>31</v>
      </c>
      <c r="AA3" s="30" t="s">
        <v>29</v>
      </c>
      <c r="AB3" s="32" t="s">
        <v>30</v>
      </c>
      <c r="AC3" s="28"/>
      <c r="AE3" s="92" t="s">
        <v>211</v>
      </c>
    </row>
    <row r="4" spans="1:37" ht="13.5" thickTop="1" x14ac:dyDescent="0.2">
      <c r="A4">
        <v>2</v>
      </c>
      <c r="B4" t="s">
        <v>112</v>
      </c>
      <c r="C4">
        <f>IF(R1&lt;=40,140,0)*IF(B8=1,0,1)</f>
        <v>0</v>
      </c>
      <c r="D4" s="15">
        <f>MIN(R1*140,5600)</f>
        <v>5600</v>
      </c>
      <c r="E4">
        <f>IF(R1&gt;=20,IF(B8=1,150,200),0)*IF(B11=1,0,1)</f>
        <v>200</v>
      </c>
      <c r="F4" s="2">
        <f>G4*IF(B$45=1,1,1.1)</f>
        <v>0.3</v>
      </c>
      <c r="G4" s="2">
        <v>0.3</v>
      </c>
      <c r="H4" s="4">
        <v>0</v>
      </c>
      <c r="I4" s="4">
        <v>0</v>
      </c>
      <c r="J4" s="4">
        <f>IF(B14=1,1,0)*IF(C4=0,0,1)*2000</f>
        <v>0</v>
      </c>
      <c r="K4" s="4">
        <f>2000*IF($C4=0,0,1)</f>
        <v>0</v>
      </c>
      <c r="L4" s="4">
        <f>2000*IF($C4=0,0,1)</f>
        <v>0</v>
      </c>
      <c r="M4" s="4">
        <f>2000*IF($C4=0,0,1)</f>
        <v>0</v>
      </c>
      <c r="N4" s="4">
        <f>N$1*MAX($C4,$E4)</f>
        <v>3000</v>
      </c>
      <c r="O4" s="4">
        <f t="shared" si="6"/>
        <v>4000</v>
      </c>
      <c r="P4" s="4">
        <f t="shared" si="6"/>
        <v>8000</v>
      </c>
      <c r="Q4" s="4">
        <f t="shared" ref="Q4:Q7" si="7">Q$1*$E4</f>
        <v>20000</v>
      </c>
      <c r="R4" s="1">
        <f>IF(M11=0,IF(N$9=$R$1,N11,0),IF(N11=0,M11,TREND(M11:N11,M$9:N$9,$R$1)))</f>
        <v>20000</v>
      </c>
      <c r="S4" s="22"/>
      <c r="T4" s="33" t="str">
        <f>"Förderung in Euro "&amp;IF(OR(B79=2,B85=3),"(maximal!)","")</f>
        <v xml:space="preserve">Förderung in Euro </v>
      </c>
      <c r="U4" s="87">
        <f>MIN(C170+D170*  IF(B85=2, IF(X16&gt;40,0,IF(X16&lt;4,0,R1*C87)),   IF(AND(B85=3,X16&lt;=100),200,   IF(B2=4,F6*X22, IF(C1=0,0,IF($X16&gt;100,0,1)*(VLOOKUP(B37,$38:$39,3,FALSE)*VLOOKUP(B2,$3:$7,18,FALSE)+VLOOKUP(B48,$49:$50,3,FALSE)+VLOOKUP(B51,$52:$53,3,FALSE)+VLOOKUP(B54,$55:$56,3,FALSE) + IF(AND(B79=2,B170=1),0.5*IF(R1&gt;=40,VLOOKUP(B2,$3:$7,4,FALSE),R1*VLOOKUP(B2,$3:$7,3,FALSE)),0) )) ))   ),IF(J32,C161,J31*X22))</f>
        <v>0</v>
      </c>
      <c r="V4" s="34">
        <f>MIN(C170+D170* IF(B85&lt;&gt;1,0, IF(B2&lt;&gt;4,IF(B11=1,0,1),1)*(X16*D1* IF(B2&lt;&gt;4,IF(OR($X16&lt;20,$X16&gt;100),0,1),IF($X16&lt;20,0,1))*VLOOKUP(B37,$38:$39,3,FALSE)+VLOOKUP(B48,$49:$50,3,FALSE)+VLOOKUP(B51,$52:$53,3,FALSE)+VLOOKUP(B54,$55:$56,3,FALSE)  + IF(AND(B79=2,B170=1),0.5*IF(R1&gt;=40,VLOOKUP(B2,$3:$7,4,FALSE),R1*VLOOKUP(B2,$3:$7,3,FALSE)),0)  )),IF(J32,C161,J31*X22))</f>
        <v>0</v>
      </c>
      <c r="W4" s="18">
        <f>IF(B85=3,0,   IF(X16&lt;40,0,1)*   MIN(C170+D170*X22*VLOOKUP(B2,$3:$7,6,FALSE)*VLOOKUP(B37,$38:$39,3,FALSE)+IF(B82=2,J46,0),IF(J32,C161,J31*X22))     )</f>
        <v>230000</v>
      </c>
      <c r="X4" s="35">
        <f xml:space="preserve"> IF(B85=3,0,  IF(X16&lt;40,0,1)*MIN(C170+D170*X16*D1*VLOOKUP(B37,$38:$39,3,FALSE)*IF(AND(B2=4,B45=2),1.1,1)+IF(B82=2,J46,0),IF(J32,C161,J31*X22)))</f>
        <v>270000</v>
      </c>
      <c r="Y4" s="87">
        <f>MIN(C170+D170*  IF(B85=2, IF(X16&gt;40,0,IF(X16&lt;4,0,R1*C87)),   IF(AND(B85=3,X16&lt;=100),200,   IF(B2=4,F6*X24, IF(C18=0,0,IF($X16&gt;100,0,1)*(VLOOKUP(B37,$38:$39,3,FALSE)*VLOOKUP(B2,$3:$7,18,FALSE)+VLOOKUP(B48,$49:$50,3,FALSE)+VLOOKUP(B51,$52:$53,3,FALSE)+VLOOKUP(B54,$55:$56,3,FALSE) + IF(AND(B79=2,B170=1),0.5*IF(R1&gt;=40,VLOOKUP(B2,$3:$7,4,FALSE),R1*VLOOKUP(B2,$3:$7,3,FALSE)),0) )) ))   ),IF(J32,D161,J31*X24))</f>
        <v>0</v>
      </c>
      <c r="Z4" s="34">
        <f>MIN(C170+D170*  IF(OR(B18=16,B85&lt;&gt;1),0,  IF(B2&lt;&gt;4,IF(B11=1,0,1),1)*(X16*G18* IF(B2&lt;&gt;4,IF(OR($X16&lt;20,$X16&gt;100),0,1),IF($X16&lt;20,0,1))*VLOOKUP(B37,$38:$39,3,FALSE)+VLOOKUP(B48,$49:$50,3,FALSE)+VLOOKUP(B51,$52:$53,3,FALSE)+VLOOKUP(B54,$55:$56,3,FALSE)  + IF(AND(B79=2,B170=1),0.5*IF(R1&gt;=40,VLOOKUP(B2,$3:$7,4,FALSE),R1*VLOOKUP(B2,$3:$7,3,FALSE)),0) )), IF(J32,D161,J31*X24))</f>
        <v>0</v>
      </c>
      <c r="AA4" s="18">
        <f>IF(OR(X24=0,B18=16),0,IF(B85=3,0,   IF(X16&lt;40,0,1)*  MIN(C170+D170*X24*VLOOKUP(B2,$3:$7,6,FALSE)*VLOOKUP(B37,$38:$39,3,FALSE) +IF(B82=2,J46,0),  IF(J32,D161,J31*X24)) ))</f>
        <v>190000</v>
      </c>
      <c r="AB4" s="36">
        <f xml:space="preserve"> IF(OR(B85=3,B18=16),0,  IF(X16&lt;40,0,1)* MIN(C170+D170*X16*G18*VLOOKUP(B37,$38:$39,3,FALSE)*IF(AND(B2=4,B45=2),1.1,1)+IF(B82=2,J46,0),IF(J32,D161,J31*X24)))</f>
        <v>225000</v>
      </c>
      <c r="AC4" s="28"/>
      <c r="AE4" s="93" t="s">
        <v>210</v>
      </c>
    </row>
    <row r="5" spans="1:37" x14ac:dyDescent="0.2">
      <c r="A5">
        <v>3</v>
      </c>
      <c r="B5" t="s">
        <v>4</v>
      </c>
      <c r="C5">
        <f>IF(R1&lt;=40,140,0)*IF(B8=1,0,1)</f>
        <v>0</v>
      </c>
      <c r="D5">
        <f>D4</f>
        <v>5600</v>
      </c>
      <c r="E5">
        <f>IF(R1&gt;=20,IF(B8=1,150,200),0)*IF(B11=1,0,1)</f>
        <v>200</v>
      </c>
      <c r="F5" s="2">
        <f>G5*IF(B$45=1,1,1.1)</f>
        <v>0.4</v>
      </c>
      <c r="G5" s="2">
        <v>0.4</v>
      </c>
      <c r="H5" s="4">
        <v>0</v>
      </c>
      <c r="I5" s="4">
        <v>0</v>
      </c>
      <c r="J5" s="4">
        <v>0</v>
      </c>
      <c r="K5" s="4">
        <v>0</v>
      </c>
      <c r="L5" s="4">
        <v>0</v>
      </c>
      <c r="M5" s="4">
        <v>0</v>
      </c>
      <c r="N5" s="4">
        <f>N$1*MAX($C5,$E5)</f>
        <v>3000</v>
      </c>
      <c r="O5" s="4">
        <f t="shared" si="6"/>
        <v>4000</v>
      </c>
      <c r="P5" s="4">
        <f t="shared" si="6"/>
        <v>8000</v>
      </c>
      <c r="Q5" s="4">
        <f t="shared" si="7"/>
        <v>20000</v>
      </c>
      <c r="R5" s="1">
        <f>IF(M12=0,IF(N$9=$R$1,N12,0),IF(N12=0,M12,TREND(M12:N12,M$9:N$9,$R$1)))</f>
        <v>20000</v>
      </c>
      <c r="S5" s="22"/>
      <c r="T5" s="37" t="s">
        <v>39</v>
      </c>
      <c r="U5" s="103">
        <f t="shared" ref="U5:AB5" si="8">IF($X16=0,0,U4/$X16)</f>
        <v>0</v>
      </c>
      <c r="V5" s="104">
        <f t="shared" si="8"/>
        <v>0</v>
      </c>
      <c r="W5" s="105">
        <f t="shared" si="8"/>
        <v>230</v>
      </c>
      <c r="X5" s="106">
        <f t="shared" si="8"/>
        <v>270</v>
      </c>
      <c r="Y5" s="103">
        <f t="shared" si="8"/>
        <v>0</v>
      </c>
      <c r="Z5" s="104">
        <f t="shared" si="8"/>
        <v>0</v>
      </c>
      <c r="AA5" s="105">
        <f t="shared" si="8"/>
        <v>190</v>
      </c>
      <c r="AB5" s="107">
        <f t="shared" si="8"/>
        <v>225</v>
      </c>
      <c r="AC5" s="28"/>
      <c r="AE5" t="s">
        <v>209</v>
      </c>
    </row>
    <row r="6" spans="1:37" x14ac:dyDescent="0.2">
      <c r="A6">
        <v>4</v>
      </c>
      <c r="B6" t="s">
        <v>5</v>
      </c>
      <c r="C6">
        <v>0</v>
      </c>
      <c r="D6">
        <v>0</v>
      </c>
      <c r="F6" s="2">
        <f>G6*IF(B$45=1,1,1.1)</f>
        <v>0.45</v>
      </c>
      <c r="G6" s="2">
        <f>IF(X16&gt;=20,IF(B45=2,50%,45%),0)</f>
        <v>0.45</v>
      </c>
      <c r="H6" s="4">
        <v>0</v>
      </c>
      <c r="I6" s="4">
        <v>0</v>
      </c>
      <c r="J6" s="4">
        <v>0</v>
      </c>
      <c r="K6" s="4">
        <v>0</v>
      </c>
      <c r="L6" s="4">
        <v>0</v>
      </c>
      <c r="M6" s="4">
        <v>0</v>
      </c>
      <c r="N6" s="4">
        <v>0</v>
      </c>
      <c r="O6" s="4">
        <f>$F6*$X22</f>
        <v>225000</v>
      </c>
      <c r="P6" s="4">
        <f>$F6*$X22</f>
        <v>225000</v>
      </c>
      <c r="Q6" s="4">
        <f>$F6*$X22</f>
        <v>225000</v>
      </c>
      <c r="R6" s="1">
        <f>IF(M13=0,IF(N$9=$R$1,N13,0),IF(N13=0,M13,TREND(M13:N13,M$9:N$9,$R$1)))</f>
        <v>225000</v>
      </c>
      <c r="S6" s="22"/>
      <c r="T6" s="37" t="s">
        <v>217</v>
      </c>
      <c r="U6" s="88" t="str">
        <f>IF(U5=0," -",U5/MAX($U5:$AB5))</f>
        <v xml:space="preserve"> -</v>
      </c>
      <c r="V6" s="38" t="str">
        <f>IF(V5=0," -",V5/MAX($U5:$AB5))</f>
        <v xml:space="preserve"> -</v>
      </c>
      <c r="W6" s="39">
        <f>IF(W5=0," -",W5/MAX($U5:$AB5))</f>
        <v>0.85185185185185186</v>
      </c>
      <c r="X6" s="40">
        <f>IF(X5=0," -",X5/MAX($U5:$AB5))</f>
        <v>1</v>
      </c>
      <c r="Y6" s="88" t="str">
        <f>IF(F85=3," -",   IF(Y5=0," -",Y5/MAX($U5:$AB5)) )</f>
        <v xml:space="preserve"> -</v>
      </c>
      <c r="Z6" s="38" t="str">
        <f>IF(Z5=0," -",Z5/MAX($U5:$AB5))</f>
        <v xml:space="preserve"> -</v>
      </c>
      <c r="AA6" s="39">
        <f>IF(AA5=0," -",AA5/MAX($U5:$AB5))</f>
        <v>0.70370370370370372</v>
      </c>
      <c r="AB6" s="41">
        <f>IF(AB5=0," -",AB5/MAX($U5:$AB5))</f>
        <v>0.83333333333333337</v>
      </c>
      <c r="AC6" s="28"/>
    </row>
    <row r="7" spans="1:37" x14ac:dyDescent="0.2">
      <c r="A7">
        <v>5</v>
      </c>
      <c r="B7" t="s">
        <v>6</v>
      </c>
      <c r="C7">
        <f>IF(R1&lt;=40,140,0)*IF(B8=1,0,1)</f>
        <v>0</v>
      </c>
      <c r="D7">
        <f>D4</f>
        <v>5600</v>
      </c>
      <c r="E7">
        <f>IF(R1&gt;=20,IF(B8=1,150,200),0)*IF(B11=1,0,1)</f>
        <v>200</v>
      </c>
      <c r="F7" s="2">
        <f>G7*IF(B$45=1,1,1.1)</f>
        <v>0.3</v>
      </c>
      <c r="G7" s="2">
        <v>0.3</v>
      </c>
      <c r="H7" s="4">
        <v>0</v>
      </c>
      <c r="I7" s="4">
        <v>0</v>
      </c>
      <c r="J7" s="4">
        <v>0</v>
      </c>
      <c r="K7" s="4">
        <v>0</v>
      </c>
      <c r="L7" s="4">
        <v>0</v>
      </c>
      <c r="M7" s="4">
        <v>0</v>
      </c>
      <c r="N7" s="4">
        <f>N$1*MAX($C7,$E7)</f>
        <v>3000</v>
      </c>
      <c r="O7" s="4">
        <f>O$1*MAX($C7,$E7)</f>
        <v>4000</v>
      </c>
      <c r="P7" s="4">
        <f>P$1*MAX($C7,$E7)</f>
        <v>8000</v>
      </c>
      <c r="Q7" s="4">
        <f t="shared" si="7"/>
        <v>20000</v>
      </c>
      <c r="R7" s="1">
        <f>IF(M14=0,IF(N$9=$R$1,N14,0),IF(N14=0,M14,TREND(M14:N14,M$9:N$9,$R$1)))</f>
        <v>20000</v>
      </c>
      <c r="S7" s="22"/>
      <c r="T7" s="37" t="s">
        <v>218</v>
      </c>
      <c r="U7" s="88" t="str">
        <f>IF(U4=0," -",U4/$X22)</f>
        <v xml:space="preserve"> -</v>
      </c>
      <c r="V7" s="38" t="str">
        <f>IF(V4=0," -",V4/$X22)</f>
        <v xml:space="preserve"> -</v>
      </c>
      <c r="W7" s="39">
        <f t="shared" ref="W7:X7" si="9">IF(W4=0," -",W4/$X22)</f>
        <v>0.46</v>
      </c>
      <c r="X7" s="40">
        <f t="shared" si="9"/>
        <v>0.54</v>
      </c>
      <c r="Y7" s="88" t="str">
        <f>IF(Y4=0," -",Y4/$X24)</f>
        <v xml:space="preserve"> -</v>
      </c>
      <c r="Z7" s="38" t="str">
        <f>IF(Z4=0," -",Z4/$X24)</f>
        <v xml:space="preserve"> -</v>
      </c>
      <c r="AA7" s="39">
        <f t="shared" ref="AA7:AB7" si="10">IF(AA4=0," -",AA4/$X24)</f>
        <v>0.47499999999999998</v>
      </c>
      <c r="AB7" s="41">
        <f t="shared" si="10"/>
        <v>0.5625</v>
      </c>
      <c r="AC7" s="28"/>
    </row>
    <row r="8" spans="1:37" x14ac:dyDescent="0.2">
      <c r="A8" t="s">
        <v>20</v>
      </c>
      <c r="B8" s="6">
        <v>2</v>
      </c>
      <c r="S8" s="22"/>
      <c r="T8" s="37" t="s">
        <v>219</v>
      </c>
      <c r="U8" s="113" t="str">
        <f t="shared" ref="U8:V8" si="11">IF(U5=0," -",IF($J39=0,"unendlich",U5/$J$39/0.2))</f>
        <v xml:space="preserve"> -</v>
      </c>
      <c r="V8" s="114" t="str">
        <f t="shared" si="11"/>
        <v xml:space="preserve"> -</v>
      </c>
      <c r="W8" s="115">
        <f>IF(W5=0," -",IF($J39=0,"unendlich",W5/$J$39/0.2))</f>
        <v>2.696998123827393</v>
      </c>
      <c r="X8" s="116">
        <f>IF(X5=0," -",IF($J39=0,"unendlich",X5/$J$39/0.2))</f>
        <v>3.1660412757973742</v>
      </c>
      <c r="Y8" s="113" t="str">
        <f>IF(Y5=0," -",IF($J43=0,"unendlich",Y5/$J$43/0.2))</f>
        <v xml:space="preserve"> -</v>
      </c>
      <c r="Z8" s="114" t="str">
        <f>IF(Z5=0," -",IF($J43=0,"unendlich",Z5/$J$43/0.2))</f>
        <v xml:space="preserve"> -</v>
      </c>
      <c r="AA8" s="115">
        <f>IF(AA5=0," -",IF($J43=0,"unendlich",AA5/$J$43/0.2))</f>
        <v>9.0996168582375461</v>
      </c>
      <c r="AB8" s="117">
        <f>IF(AB5=0," -",IF($J43=0,"unendlich",AB5/$J$43/0.2))</f>
        <v>10.775862068965516</v>
      </c>
      <c r="AC8" s="28"/>
    </row>
    <row r="9" spans="1:37" x14ac:dyDescent="0.2">
      <c r="A9">
        <v>1</v>
      </c>
      <c r="B9" t="s">
        <v>18</v>
      </c>
      <c r="C9">
        <v>0</v>
      </c>
      <c r="E9" t="s">
        <v>25</v>
      </c>
      <c r="F9" t="s">
        <v>28</v>
      </c>
      <c r="G9" t="s">
        <v>26</v>
      </c>
      <c r="H9" t="s">
        <v>0</v>
      </c>
      <c r="M9" s="7">
        <f>HLOOKUP(X16,H1:Q2,1,TRUE)</f>
        <v>100</v>
      </c>
      <c r="N9" s="7">
        <f>HLOOKUP(X16,H1:Q2,2,TRUE)</f>
        <v>0</v>
      </c>
      <c r="O9" t="s">
        <v>0</v>
      </c>
      <c r="S9" s="22"/>
      <c r="T9" s="96" t="s">
        <v>217</v>
      </c>
      <c r="U9" s="97" t="str">
        <f t="shared" ref="U9:AB9" si="12">IF(U4=0," -",U4-MAX($U4:$AB4))</f>
        <v xml:space="preserve"> -</v>
      </c>
      <c r="V9" s="98" t="str">
        <f t="shared" si="12"/>
        <v xml:space="preserve"> -</v>
      </c>
      <c r="W9" s="99">
        <f t="shared" si="12"/>
        <v>-40000</v>
      </c>
      <c r="X9" s="100">
        <f t="shared" si="12"/>
        <v>0</v>
      </c>
      <c r="Y9" s="97" t="str">
        <f t="shared" si="12"/>
        <v xml:space="preserve"> -</v>
      </c>
      <c r="Z9" s="98" t="str">
        <f t="shared" si="12"/>
        <v xml:space="preserve"> -</v>
      </c>
      <c r="AA9" s="99">
        <f t="shared" si="12"/>
        <v>-80000</v>
      </c>
      <c r="AB9" s="101">
        <f t="shared" si="12"/>
        <v>-45000</v>
      </c>
      <c r="AC9" s="28"/>
    </row>
    <row r="10" spans="1:37" ht="13.5" thickBot="1" x14ac:dyDescent="0.25">
      <c r="A10">
        <v>2</v>
      </c>
      <c r="B10" t="s">
        <v>35</v>
      </c>
      <c r="C10">
        <v>0</v>
      </c>
      <c r="J10" s="118"/>
      <c r="M10">
        <f>HLOOKUP(M$9,$H$1:$Q$7,3,FALSE)</f>
        <v>10000</v>
      </c>
      <c r="N10">
        <f>HLOOKUP(N$9,$H$1:$Q$7,3,FALSE)</f>
        <v>0</v>
      </c>
      <c r="Q10" s="77"/>
      <c r="R10" s="77"/>
      <c r="S10" s="22"/>
      <c r="T10" s="102" t="s">
        <v>220</v>
      </c>
      <c r="U10" s="108" t="str">
        <f t="shared" ref="U10:AB10" si="13">IF(U4=0," -",U5-MAX($U5:$AB5))</f>
        <v xml:space="preserve"> -</v>
      </c>
      <c r="V10" s="109" t="str">
        <f t="shared" si="13"/>
        <v xml:space="preserve"> -</v>
      </c>
      <c r="W10" s="110">
        <f t="shared" si="13"/>
        <v>-40</v>
      </c>
      <c r="X10" s="111">
        <f t="shared" si="13"/>
        <v>0</v>
      </c>
      <c r="Y10" s="108" t="str">
        <f t="shared" si="13"/>
        <v xml:space="preserve"> -</v>
      </c>
      <c r="Z10" s="109" t="str">
        <f t="shared" si="13"/>
        <v xml:space="preserve"> -</v>
      </c>
      <c r="AA10" s="110">
        <f t="shared" si="13"/>
        <v>-80</v>
      </c>
      <c r="AB10" s="112">
        <f t="shared" si="13"/>
        <v>-45</v>
      </c>
      <c r="AC10" s="28"/>
    </row>
    <row r="11" spans="1:37" ht="13.5" thickTop="1" x14ac:dyDescent="0.2">
      <c r="A11" t="s">
        <v>21</v>
      </c>
      <c r="B11" s="6">
        <v>2</v>
      </c>
      <c r="F11" t="s">
        <v>26</v>
      </c>
      <c r="G11" t="s">
        <v>27</v>
      </c>
      <c r="M11">
        <f>HLOOKUP(M$9,$H$1:$Q$7,4,FALSE)</f>
        <v>20000</v>
      </c>
      <c r="N11">
        <f>HLOOKUP(N$9,$H$1:$Q$7,4,FALSE)</f>
        <v>0</v>
      </c>
      <c r="Q11" s="77"/>
      <c r="S11" s="22"/>
      <c r="T11" s="46" t="s">
        <v>186</v>
      </c>
      <c r="U11" s="87" t="str">
        <f t="shared" ref="U11:V11" si="14">IF(U4=0," -",$X22-U4 +IF($B82=2,$X48,0))</f>
        <v xml:space="preserve"> -</v>
      </c>
      <c r="V11" s="34" t="str">
        <f t="shared" si="14"/>
        <v xml:space="preserve"> -</v>
      </c>
      <c r="W11" s="18">
        <f>IF(W4=0," -",$X22-W4 +IF($B82=2,$X48,0))</f>
        <v>370000</v>
      </c>
      <c r="X11" s="35">
        <f>IF(X4=0," -",$X22-X4 +IF($B82=2,$X48,0))</f>
        <v>330000</v>
      </c>
      <c r="Y11" s="87" t="str">
        <f>IF(Y4=0," -",$X24-Y4 +IF($B82=2,$X48,0))</f>
        <v xml:space="preserve"> -</v>
      </c>
      <c r="Z11" s="34" t="str">
        <f>IF(Z4=0," -",$X24-Z4 +IF($B82=2,$X48,0))</f>
        <v xml:space="preserve"> -</v>
      </c>
      <c r="AA11" s="18">
        <f>IF(AA4=0," -",$X24-AA4 +IF($B82=2,$X48,0))</f>
        <v>310000</v>
      </c>
      <c r="AB11" s="36">
        <f>IF(AB4=0," -",$X24-AB4 +IF($B82=2,$X48,0))</f>
        <v>275000</v>
      </c>
      <c r="AC11" s="28"/>
      <c r="AJ11" s="77"/>
      <c r="AK11" s="77"/>
    </row>
    <row r="12" spans="1:37" x14ac:dyDescent="0.2">
      <c r="A12">
        <v>1</v>
      </c>
      <c r="B12" t="s">
        <v>12</v>
      </c>
      <c r="C12">
        <v>0</v>
      </c>
      <c r="M12">
        <f>HLOOKUP(M$9,$H$1:$Q$7,5,FALSE)</f>
        <v>20000</v>
      </c>
      <c r="N12">
        <f>HLOOKUP(N$9,$H$1:$Q$7,5,FALSE)</f>
        <v>0</v>
      </c>
      <c r="Q12" s="17"/>
      <c r="S12" s="22"/>
      <c r="T12" s="46" t="s">
        <v>187</v>
      </c>
      <c r="U12" s="113" t="str">
        <f>IF(U4=0," -",IF($J39=0,"unendlich",IF(U11=" -"," -",IF(U11&lt;0,0,U11/($J$39*$X16*20)*100))))</f>
        <v xml:space="preserve"> -</v>
      </c>
      <c r="V12" s="114" t="str">
        <f t="shared" ref="V12:X12" si="15">IF(V4=0," -",IF($J39=0,"unendlich",IF(V11=" -"," -",IF(V11&lt;0,0,V11/($J$39*$X16*20)*100))))</f>
        <v xml:space="preserve"> -</v>
      </c>
      <c r="W12" s="115">
        <f t="shared" si="15"/>
        <v>4.3386491557223277</v>
      </c>
      <c r="X12" s="116">
        <f t="shared" si="15"/>
        <v>3.8696060037523461</v>
      </c>
      <c r="Y12" s="113" t="str">
        <f>IF(Y4=0," -",IF($J43=0,"unendlich",IF(Y11=" -"," -",IF(Y11&lt;0,0,Y11/($J$43*$X16*20)*100))))</f>
        <v xml:space="preserve"> -</v>
      </c>
      <c r="Z12" s="114" t="str">
        <f>IF(Z4=0," -",IF($J43=0,"unendlich",IF(Z11=" -"," -",IF(Z11&lt;0,0,Z11/($J$43*$X16*20)*100))))</f>
        <v xml:space="preserve"> -</v>
      </c>
      <c r="AA12" s="115">
        <f t="shared" ref="AA12:AB12" si="16">IF(AA4=0," -",IF($J43=0,"unendlich",IF(AA11=" -"," -",IF(AA11&lt;0,0,AA11/($J$43*$X16*20)*100))))</f>
        <v>14.846743295019158</v>
      </c>
      <c r="AB12" s="117">
        <f t="shared" si="16"/>
        <v>13.170498084291188</v>
      </c>
      <c r="AC12" s="28"/>
    </row>
    <row r="13" spans="1:37" x14ac:dyDescent="0.2">
      <c r="A13">
        <v>2</v>
      </c>
      <c r="B13" t="s">
        <v>13</v>
      </c>
      <c r="M13">
        <f>HLOOKUP(M$9,$H$1:$Q$7,6,FALSE)</f>
        <v>225000</v>
      </c>
      <c r="N13">
        <f>HLOOKUP(N$9,$H$1:$Q$7,6,FALSE)</f>
        <v>0</v>
      </c>
      <c r="S13" s="22"/>
      <c r="T13" s="46" t="s">
        <v>185</v>
      </c>
      <c r="U13" s="89" t="str">
        <f>IF(U11=" -"," -",MAX(0,$J$39*$X16*$X$32/100*  IF($X$34=0,20,((1+$X$34)^20-1)/($X$34))-U11))</f>
        <v xml:space="preserve"> -</v>
      </c>
      <c r="V13" s="42" t="str">
        <f>IF(V11=" -"," -",MAX(0,$J$39*$X16*$X$32/100*  IF($X$34=0,20,((1+$X$34)^20-1)/($X$34))-V11))</f>
        <v xml:space="preserve"> -</v>
      </c>
      <c r="W13" s="43">
        <f>IF(W11=" -"," -",MAX(0,$J$39*$X16*$X$32/100*  IF($X$34=0,20,((1+$X$34)^20-1)/($X$34))-W11))</f>
        <v>264868.63523681334</v>
      </c>
      <c r="X13" s="44">
        <f>IF(X11=" -"," -",MAX(0,$J$39*$X16*$X$32/100*  IF($X$34=0,20,((1+$X$34)^20-1)/($X$34))-X11))</f>
        <v>304868.63523681334</v>
      </c>
      <c r="Y13" s="89" t="str">
        <f>IF(Y11=" -"," -",MAX(0,$J$43*$X16*$X$32/100*  IF($X$34=0,20,((1+$X$34)^20-1)/($X$34))-Y11))</f>
        <v xml:space="preserve"> -</v>
      </c>
      <c r="Z13" s="42" t="str">
        <f>IF(Z11=" -"," -",MAX(0,$J$43*$X16*$X$32/100*  IF($X$34=0,20,((1+$X$34)^20-1)/($X$34))-Z11))</f>
        <v xml:space="preserve"> -</v>
      </c>
      <c r="AA13" s="43">
        <f>IF(AA11=" -"," -",MAX(0,$J$43*$X16*$X$32/100*  IF($X$34=0,20,((1+$X$34)^20-1)/($X$34))-AA11))</f>
        <v>0</v>
      </c>
      <c r="AB13" s="45">
        <f>IF(AB11=" -"," -",MAX(0,$J$43*$X16*$X$32/100*  IF($X$34=0,20,((1+$X$34)^20-1)/($X$34))-AB11))</f>
        <v>0</v>
      </c>
      <c r="AC13" s="28"/>
    </row>
    <row r="14" spans="1:37" ht="13.5" thickBot="1" x14ac:dyDescent="0.25">
      <c r="A14" t="s">
        <v>22</v>
      </c>
      <c r="B14" s="6">
        <f>IF(B59=16,B90,VLOOKUP(B59,$60:$75,4,FALSE))</f>
        <v>1</v>
      </c>
      <c r="M14">
        <f>HLOOKUP(M$9,$H$1:$Q$7,7,FALSE)</f>
        <v>20000</v>
      </c>
      <c r="N14">
        <f>HLOOKUP(N$9,$H$1:$Q$7,7,FALSE)</f>
        <v>0</v>
      </c>
      <c r="S14" s="22"/>
      <c r="T14" s="47" t="s">
        <v>38</v>
      </c>
      <c r="U14" s="90" t="str">
        <f>IF(U11=" -"," -",IF(U11&lt;=0,"sofort",IF($J39=0,"unendlich",LN($X$34*U11/($J$39*$X$16*$X$32/100)+1)/LN(1+$X$34))))</f>
        <v xml:space="preserve"> -</v>
      </c>
      <c r="V14" s="48" t="str">
        <f t="shared" ref="V14:X14" si="17">IF(V11=" -"," -",IF(V11&lt;=0,"sofort",IF($J39=0,"unendlich",LN($X$34*V11/($J$39*$X$16*$X$32/100)+1)/LN(1+$X$34))))</f>
        <v xml:space="preserve"> -</v>
      </c>
      <c r="W14" s="49">
        <f t="shared" si="17"/>
        <v>13.441905739723492</v>
      </c>
      <c r="X14" s="50">
        <f t="shared" si="17"/>
        <v>12.286703330310729</v>
      </c>
      <c r="Y14" s="90" t="str">
        <f>IF(Y11=" -"," -",IF(Y11&lt;=0,"sofort",IF($J43=0,"unendlich",LN($X$34*Y11/($J$43*$X$16*$X$32/100)+1)/LN(1+$X$34))))</f>
        <v xml:space="preserve"> -</v>
      </c>
      <c r="Z14" s="48" t="str">
        <f>IF(Z11=" -"," -",IF(Z11&lt;=0,"sofort",IF($J43=0,"unendlich",LN($X$34*Z11/($J$43*$X$16*$X$32/100)+1)/LN(1+$X$34))))</f>
        <v xml:space="preserve"> -</v>
      </c>
      <c r="AA14" s="49">
        <f t="shared" ref="AA14:AB14" si="18">IF(AA11=" -"," -",IF(AA11&lt;=0,"sofort",IF($J43=0,"unendlich",LN($X$34*AA11/($J$43*$X$16*$X$32/100)+1)/LN(1+$X$34))))</f>
        <v>31.017723055137942</v>
      </c>
      <c r="AB14" s="51">
        <f t="shared" si="18"/>
        <v>28.90685955560873</v>
      </c>
      <c r="AC14" s="28"/>
    </row>
    <row r="15" spans="1:37" x14ac:dyDescent="0.2">
      <c r="A15">
        <v>1</v>
      </c>
      <c r="B15" t="str">
        <f>IF(B59=16,"VRK","")</f>
        <v/>
      </c>
      <c r="C15">
        <v>50</v>
      </c>
      <c r="S15" s="22"/>
      <c r="T15" s="52"/>
      <c r="U15" s="52"/>
      <c r="V15" s="52"/>
      <c r="W15" s="52"/>
      <c r="X15" s="52"/>
      <c r="Y15" s="52"/>
      <c r="Z15" s="52"/>
      <c r="AA15" s="52"/>
      <c r="AB15" s="52"/>
      <c r="AC15" s="28"/>
    </row>
    <row r="16" spans="1:37" x14ac:dyDescent="0.2">
      <c r="A16">
        <v>2</v>
      </c>
      <c r="B16" t="str">
        <f>IF(B59=16,"FK","")</f>
        <v/>
      </c>
      <c r="C16">
        <v>40</v>
      </c>
      <c r="G16" t="s">
        <v>23</v>
      </c>
      <c r="L16" s="8" t="s">
        <v>65</v>
      </c>
      <c r="M16">
        <f>IF(X16-INT(X16)=0,X16,INT(X16)+1)</f>
        <v>1000</v>
      </c>
      <c r="N16" t="s">
        <v>0</v>
      </c>
      <c r="R16" t="s">
        <v>66</v>
      </c>
      <c r="S16" s="22"/>
      <c r="T16" s="52" t="s">
        <v>9</v>
      </c>
      <c r="U16" s="52"/>
      <c r="V16" s="52"/>
      <c r="W16" s="52"/>
      <c r="X16" s="53">
        <v>1000</v>
      </c>
      <c r="Y16" s="52" t="s">
        <v>115</v>
      </c>
      <c r="Z16" s="52"/>
      <c r="AA16" s="82" t="s">
        <v>183</v>
      </c>
      <c r="AB16" s="83"/>
      <c r="AC16" s="28"/>
    </row>
    <row r="17" spans="1:29" ht="8.1" customHeight="1" x14ac:dyDescent="0.2">
      <c r="B17" s="8" t="s">
        <v>81</v>
      </c>
      <c r="C17" s="8">
        <v>50</v>
      </c>
      <c r="D17">
        <v>75</v>
      </c>
      <c r="E17">
        <f>X36</f>
        <v>75</v>
      </c>
      <c r="F17">
        <v>25</v>
      </c>
      <c r="S17" s="22"/>
      <c r="T17" s="52"/>
      <c r="U17" s="52"/>
      <c r="V17" s="52"/>
      <c r="W17" s="52"/>
      <c r="X17" s="54"/>
      <c r="Y17" s="54"/>
      <c r="Z17" s="54"/>
      <c r="AA17" s="54"/>
      <c r="AB17" s="52"/>
      <c r="AC17" s="28"/>
    </row>
    <row r="18" spans="1:29" ht="15" customHeight="1" x14ac:dyDescent="0.2">
      <c r="A18" t="s">
        <v>10</v>
      </c>
      <c r="B18" s="6">
        <v>10</v>
      </c>
      <c r="C18" s="15">
        <f>IF(AB20="",VLOOKUP(B18,$19:$34,3,FALSE),AB20)</f>
        <v>474</v>
      </c>
      <c r="D18" s="15">
        <f>IF(AB40="",VLOOKUP(B18,$19:$34,4,FALSE),AB40)</f>
        <v>291</v>
      </c>
      <c r="E18">
        <f>TREND(C18:D18,C$17:D$17,E$17)</f>
        <v>291</v>
      </c>
      <c r="F18">
        <f>TREND(C18:D18,C$17:D$17,F$17)</f>
        <v>657.00000000000011</v>
      </c>
      <c r="G18">
        <f t="shared" ref="G18" si="19">C18*A$1/100</f>
        <v>213.3</v>
      </c>
      <c r="Q18" t="s">
        <v>168</v>
      </c>
      <c r="R18" t="s">
        <v>157</v>
      </c>
      <c r="S18" s="22"/>
      <c r="T18" s="52" t="s">
        <v>36</v>
      </c>
      <c r="U18" s="52"/>
      <c r="V18" s="52"/>
      <c r="W18" s="52"/>
      <c r="X18" s="55">
        <f>ROUND(VLOOKUP(B59,$60:$77,5,FALSE),3)</f>
        <v>678</v>
      </c>
      <c r="Y18" s="52" t="s">
        <v>197</v>
      </c>
      <c r="Z18" s="52"/>
      <c r="AA18" s="52" t="s">
        <v>169</v>
      </c>
      <c r="AB18" s="56"/>
      <c r="AC18" s="28"/>
    </row>
    <row r="19" spans="1:29" ht="15" customHeight="1" x14ac:dyDescent="0.2">
      <c r="A19">
        <v>1</v>
      </c>
      <c r="B19" t="s">
        <v>158</v>
      </c>
      <c r="C19">
        <v>678</v>
      </c>
      <c r="D19">
        <v>613</v>
      </c>
      <c r="G19">
        <f t="shared" ref="G19:G32" si="20">C19*A$1/100</f>
        <v>305.10000000000002</v>
      </c>
      <c r="S19" s="22"/>
      <c r="T19" s="52"/>
      <c r="U19" s="79" t="str">
        <f>IF(J26&lt;525,"Referenzkollektor verfehlt vermutlich Fördermindestanforderung.","")</f>
        <v>Referenzkollektor verfehlt vermutlich Fördermindestanforderung.</v>
      </c>
      <c r="V19" s="52"/>
      <c r="W19" s="52"/>
      <c r="X19" s="52"/>
      <c r="Y19" s="52" t="s">
        <v>207</v>
      </c>
      <c r="Z19" s="52"/>
      <c r="AC19" s="28"/>
    </row>
    <row r="20" spans="1:29" ht="15" customHeight="1" x14ac:dyDescent="0.2">
      <c r="A20">
        <v>2</v>
      </c>
      <c r="B20" t="s">
        <v>159</v>
      </c>
      <c r="C20">
        <v>679</v>
      </c>
      <c r="D20">
        <v>597</v>
      </c>
      <c r="G20">
        <f t="shared" si="20"/>
        <v>305.55</v>
      </c>
      <c r="I20" t="s">
        <v>182</v>
      </c>
      <c r="R20" t="s">
        <v>64</v>
      </c>
      <c r="S20" s="22"/>
      <c r="T20" s="52" t="s">
        <v>34</v>
      </c>
      <c r="U20" s="52"/>
      <c r="V20" s="52"/>
      <c r="W20" s="52"/>
      <c r="X20" s="57">
        <f>C18</f>
        <v>474</v>
      </c>
      <c r="Y20" s="52" t="s">
        <v>203</v>
      </c>
      <c r="Z20" s="52"/>
      <c r="AA20" s="82" t="s">
        <v>196</v>
      </c>
      <c r="AB20" s="58"/>
      <c r="AC20" s="28"/>
    </row>
    <row r="21" spans="1:29" ht="15" customHeight="1" x14ac:dyDescent="0.2">
      <c r="A21">
        <v>3</v>
      </c>
      <c r="B21" t="s">
        <v>161</v>
      </c>
      <c r="C21">
        <v>667</v>
      </c>
      <c r="D21">
        <v>603</v>
      </c>
      <c r="G21">
        <f t="shared" si="20"/>
        <v>300.14999999999998</v>
      </c>
      <c r="S21" s="22"/>
      <c r="T21" s="52"/>
      <c r="U21" s="79" t="str">
        <f>IF(AND(J22&lt;525,B18&lt;&gt;16),"Vergleichskollektor verfehlt vermutlich Fördermindestanforderung.","")</f>
        <v/>
      </c>
      <c r="V21" s="52"/>
      <c r="W21" s="52"/>
      <c r="X21" s="59"/>
      <c r="Y21" s="52"/>
      <c r="Z21" s="52"/>
      <c r="AA21" s="52"/>
      <c r="AB21" s="52"/>
      <c r="AC21" s="28"/>
    </row>
    <row r="22" spans="1:29" x14ac:dyDescent="0.2">
      <c r="A22">
        <v>4</v>
      </c>
      <c r="B22" t="s">
        <v>160</v>
      </c>
      <c r="C22">
        <v>605</v>
      </c>
      <c r="D22">
        <v>523</v>
      </c>
      <c r="G22">
        <f t="shared" si="20"/>
        <v>272.25</v>
      </c>
      <c r="J22">
        <f>0.38*(F34-J24)+0.71*(C34-J24)</f>
        <v>569.85</v>
      </c>
      <c r="K22" t="s">
        <v>173</v>
      </c>
      <c r="M22" t="s">
        <v>174</v>
      </c>
      <c r="R22" t="s">
        <v>63</v>
      </c>
      <c r="S22" s="22"/>
      <c r="T22" s="52" t="s">
        <v>201</v>
      </c>
      <c r="U22" s="52"/>
      <c r="V22" s="52"/>
      <c r="W22" s="52"/>
      <c r="X22" s="60">
        <v>500000</v>
      </c>
      <c r="Y22" s="52" t="str">
        <f>"   Netto-Inv.-kost."&amp;IF($B82=2," o. Speicher"," Referenzanlage bzw.:")</f>
        <v xml:space="preserve">   Netto-Inv.-kost. o. Speicher</v>
      </c>
      <c r="Z22" s="52"/>
      <c r="AA22" s="52"/>
      <c r="AB22" s="78">
        <f>ROUND(X22/X$16,0)</f>
        <v>500</v>
      </c>
      <c r="AC22" s="28"/>
    </row>
    <row r="23" spans="1:29" ht="12" customHeight="1" x14ac:dyDescent="0.2">
      <c r="A23">
        <v>5</v>
      </c>
      <c r="B23" t="s">
        <v>143</v>
      </c>
      <c r="C23">
        <v>594</v>
      </c>
      <c r="D23">
        <v>493</v>
      </c>
      <c r="G23">
        <f t="shared" si="20"/>
        <v>267.3</v>
      </c>
      <c r="S23" s="22"/>
      <c r="T23" s="52"/>
      <c r="U23" s="52"/>
      <c r="V23" s="52"/>
      <c r="W23" s="52"/>
      <c r="X23" s="76" t="str">
        <f>IF(AB22&lt;J$52,"Die Investitionskosten der Referenzanlage sind sehr niedrig!",IF(AB22&gt;J$53,"Die Investitionskosten der Referenzanlage sind sehr hoch!",""))</f>
        <v/>
      </c>
      <c r="Y23" s="54"/>
      <c r="Z23" s="54"/>
      <c r="AA23" s="54"/>
      <c r="AB23" s="52"/>
      <c r="AC23" s="28"/>
    </row>
    <row r="24" spans="1:29" ht="12.75" customHeight="1" x14ac:dyDescent="0.2">
      <c r="A24">
        <v>6</v>
      </c>
      <c r="B24" t="s">
        <v>164</v>
      </c>
      <c r="C24">
        <v>573</v>
      </c>
      <c r="D24">
        <v>422</v>
      </c>
      <c r="G24">
        <f t="shared" si="20"/>
        <v>257.85000000000002</v>
      </c>
      <c r="J24">
        <v>15</v>
      </c>
      <c r="K24" t="s">
        <v>171</v>
      </c>
      <c r="M24" t="s">
        <v>172</v>
      </c>
      <c r="R24" t="s">
        <v>62</v>
      </c>
      <c r="S24" s="22"/>
      <c r="T24" s="52" t="s">
        <v>206</v>
      </c>
      <c r="U24" s="52"/>
      <c r="V24" s="52"/>
      <c r="W24" s="52"/>
      <c r="X24" s="61">
        <v>400000</v>
      </c>
      <c r="Y24" s="62" t="s">
        <v>202</v>
      </c>
      <c r="Z24" s="62"/>
      <c r="AA24" s="52"/>
      <c r="AB24" s="78">
        <f>ROUND(X24/X$16,0)</f>
        <v>400</v>
      </c>
      <c r="AC24" s="28"/>
    </row>
    <row r="25" spans="1:29" x14ac:dyDescent="0.2">
      <c r="A25">
        <v>7</v>
      </c>
      <c r="B25" t="s">
        <v>162</v>
      </c>
      <c r="C25">
        <v>564</v>
      </c>
      <c r="D25">
        <v>501</v>
      </c>
      <c r="G25">
        <f t="shared" si="20"/>
        <v>253.8</v>
      </c>
      <c r="S25" s="22"/>
      <c r="T25" s="52"/>
      <c r="U25" s="52"/>
      <c r="V25" s="52"/>
      <c r="W25" s="52"/>
      <c r="X25" s="76" t="str">
        <f>IF(AB24&lt;J$52,"Die Investitionskosten der Vergleichsanlage sind sehr niedrig!",IF(AB24&gt;J$53,"Die Investitionskosten der Vergleichsanlage sind sehr hoch!",""))</f>
        <v/>
      </c>
      <c r="Y25" s="54"/>
      <c r="Z25" s="54"/>
      <c r="AA25" s="52"/>
      <c r="AB25" s="52"/>
      <c r="AC25" s="28"/>
    </row>
    <row r="26" spans="1:29" x14ac:dyDescent="0.2">
      <c r="A26">
        <v>8</v>
      </c>
      <c r="B26" t="s">
        <v>147</v>
      </c>
      <c r="C26">
        <v>527</v>
      </c>
      <c r="D26">
        <v>430</v>
      </c>
      <c r="G26">
        <f t="shared" si="20"/>
        <v>237.15</v>
      </c>
      <c r="J26">
        <f>0.38*(H75*IF(OR(AB16="",AB16=0),1,X16/AB16)-J24)+0.71*(E75*IF(OR(AB16="",AB16=0),1,X16/AB16)-J24)</f>
        <v>-16.349999999999998</v>
      </c>
      <c r="K26" t="s">
        <v>173</v>
      </c>
      <c r="M26" t="s">
        <v>175</v>
      </c>
      <c r="R26" t="s">
        <v>155</v>
      </c>
      <c r="S26" s="22"/>
      <c r="T26" s="52" t="s">
        <v>8</v>
      </c>
      <c r="U26" s="52"/>
      <c r="V26" s="52"/>
      <c r="W26" s="52"/>
      <c r="X26" s="63">
        <v>1</v>
      </c>
      <c r="Y26" s="64" t="s">
        <v>177</v>
      </c>
      <c r="Z26" s="64"/>
      <c r="AA26" s="52"/>
      <c r="AB26" s="52"/>
      <c r="AC26" s="28"/>
    </row>
    <row r="27" spans="1:29" ht="8.1" customHeight="1" x14ac:dyDescent="0.2">
      <c r="A27">
        <v>9</v>
      </c>
      <c r="B27" t="s">
        <v>76</v>
      </c>
      <c r="C27">
        <v>497</v>
      </c>
      <c r="D27">
        <v>423</v>
      </c>
      <c r="G27">
        <f t="shared" si="20"/>
        <v>223.65</v>
      </c>
      <c r="S27" s="22"/>
      <c r="T27" s="52"/>
      <c r="U27" s="52"/>
      <c r="V27" s="52"/>
      <c r="W27" s="52"/>
      <c r="X27" s="54"/>
      <c r="Y27" s="54"/>
      <c r="Z27" s="54"/>
      <c r="AA27" s="52"/>
      <c r="AB27" s="52"/>
      <c r="AC27" s="28"/>
    </row>
    <row r="28" spans="1:29" x14ac:dyDescent="0.2">
      <c r="A28">
        <v>10</v>
      </c>
      <c r="B28" t="s">
        <v>144</v>
      </c>
      <c r="C28">
        <v>474</v>
      </c>
      <c r="D28">
        <v>291</v>
      </c>
      <c r="G28">
        <f t="shared" si="20"/>
        <v>213.3</v>
      </c>
      <c r="R28" t="s">
        <v>156</v>
      </c>
      <c r="S28" s="22"/>
      <c r="T28" s="52" t="s">
        <v>11</v>
      </c>
      <c r="U28" s="52"/>
      <c r="V28" s="52"/>
      <c r="W28" s="52"/>
      <c r="X28" s="59"/>
      <c r="Z28" s="52"/>
      <c r="AA28" s="82" t="s">
        <v>176</v>
      </c>
      <c r="AB28" s="65" t="str">
        <f>IF(AND(U4&gt;0,B2&lt;&gt;1,B2&lt;&gt;4,R1&lt;=40),X16*VLOOKUP(B14,$15:$16,3,FALSE)&amp;" Liter",IF(B2=1,200," -"))</f>
        <v xml:space="preserve"> -</v>
      </c>
      <c r="AC28" s="28"/>
    </row>
    <row r="29" spans="1:29" ht="8.1" customHeight="1" x14ac:dyDescent="0.2">
      <c r="A29">
        <v>11</v>
      </c>
      <c r="B29" t="s">
        <v>163</v>
      </c>
      <c r="C29">
        <v>428</v>
      </c>
      <c r="D29">
        <v>245</v>
      </c>
      <c r="G29">
        <f t="shared" si="20"/>
        <v>192.6</v>
      </c>
      <c r="S29" s="22"/>
      <c r="T29" s="52"/>
      <c r="U29" s="52"/>
      <c r="V29" s="52"/>
      <c r="W29" s="52"/>
      <c r="X29" s="52"/>
      <c r="Y29" s="52"/>
      <c r="Z29" s="52"/>
      <c r="AA29" s="52"/>
      <c r="AB29" s="52"/>
      <c r="AC29" s="28"/>
    </row>
    <row r="30" spans="1:29" x14ac:dyDescent="0.2">
      <c r="A30">
        <v>12</v>
      </c>
      <c r="B30" t="s">
        <v>145</v>
      </c>
      <c r="C30">
        <v>411</v>
      </c>
      <c r="D30">
        <v>228</v>
      </c>
      <c r="G30">
        <f t="shared" si="20"/>
        <v>184.95</v>
      </c>
      <c r="R30" t="s">
        <v>61</v>
      </c>
      <c r="S30" s="22"/>
      <c r="T30" s="52" t="s">
        <v>100</v>
      </c>
      <c r="U30" s="52"/>
      <c r="V30" s="52"/>
      <c r="W30" s="52"/>
      <c r="X30" s="66" t="s">
        <v>80</v>
      </c>
      <c r="Y30" s="59"/>
      <c r="Z30" s="59"/>
      <c r="AA30" s="52"/>
      <c r="AB30" s="52"/>
      <c r="AC30" s="28"/>
    </row>
    <row r="31" spans="1:29" ht="9.75" customHeight="1" x14ac:dyDescent="0.2">
      <c r="A31">
        <v>13</v>
      </c>
      <c r="B31" t="s">
        <v>170</v>
      </c>
      <c r="C31">
        <v>362</v>
      </c>
      <c r="D31">
        <v>198</v>
      </c>
      <c r="G31">
        <f t="shared" si="20"/>
        <v>162.9</v>
      </c>
      <c r="J31">
        <v>2</v>
      </c>
      <c r="K31" t="s">
        <v>184</v>
      </c>
      <c r="S31" s="22"/>
      <c r="T31" s="95"/>
      <c r="U31" s="95"/>
      <c r="V31" s="95"/>
      <c r="W31" s="95"/>
      <c r="X31" s="52"/>
      <c r="Y31" s="52"/>
      <c r="Z31" s="52"/>
      <c r="AA31" s="52"/>
      <c r="AB31" s="52"/>
      <c r="AC31" s="28"/>
    </row>
    <row r="32" spans="1:29" x14ac:dyDescent="0.2">
      <c r="A32">
        <v>14</v>
      </c>
      <c r="B32" t="s">
        <v>165</v>
      </c>
      <c r="C32">
        <v>311</v>
      </c>
      <c r="D32">
        <v>238</v>
      </c>
      <c r="G32">
        <f t="shared" si="20"/>
        <v>139.94999999999999</v>
      </c>
      <c r="J32" s="94" t="b">
        <v>1</v>
      </c>
      <c r="K32" t="s">
        <v>113</v>
      </c>
      <c r="S32" s="22"/>
      <c r="T32" s="95" t="s">
        <v>221</v>
      </c>
      <c r="U32" s="95"/>
      <c r="V32" s="95"/>
      <c r="W32" s="95"/>
      <c r="X32" s="67">
        <v>5</v>
      </c>
      <c r="Y32" s="52" t="s">
        <v>37</v>
      </c>
      <c r="Z32" s="52"/>
      <c r="AA32" s="52"/>
      <c r="AB32" s="52"/>
      <c r="AC32" s="28"/>
    </row>
    <row r="33" spans="1:29" ht="8.1" customHeight="1" x14ac:dyDescent="0.2">
      <c r="A33">
        <v>15</v>
      </c>
      <c r="S33" s="22"/>
      <c r="T33" s="95"/>
      <c r="U33" s="95"/>
      <c r="V33" s="95"/>
      <c r="W33" s="95"/>
      <c r="X33" s="52"/>
      <c r="Y33" s="52"/>
      <c r="Z33" s="52"/>
      <c r="AA33" s="52"/>
      <c r="AB33" s="52"/>
      <c r="AC33" s="28"/>
    </row>
    <row r="34" spans="1:29" x14ac:dyDescent="0.2">
      <c r="A34">
        <v>16</v>
      </c>
      <c r="B34" t="s">
        <v>78</v>
      </c>
      <c r="C34">
        <f>IF(B18=16,0,X20)</f>
        <v>474</v>
      </c>
      <c r="D34">
        <f>IF(B18=16,0,X40)</f>
        <v>291</v>
      </c>
      <c r="E34">
        <f>TREND(C34:D34,C$17:D$17,E$17)</f>
        <v>291</v>
      </c>
      <c r="F34">
        <f>TREND(C34:D34,C$17:D$17,F$17)</f>
        <v>657.00000000000011</v>
      </c>
      <c r="G34">
        <f>C34*A$1/100</f>
        <v>213.3</v>
      </c>
      <c r="J34">
        <v>15</v>
      </c>
      <c r="K34" t="s">
        <v>83</v>
      </c>
      <c r="M34" t="s">
        <v>141</v>
      </c>
      <c r="R34" t="s">
        <v>154</v>
      </c>
      <c r="S34" s="22"/>
      <c r="T34" s="52" t="s">
        <v>1</v>
      </c>
      <c r="U34" s="52"/>
      <c r="V34" s="52"/>
      <c r="W34" s="52"/>
      <c r="X34" s="68">
        <v>0.04</v>
      </c>
      <c r="Y34" s="52" t="s">
        <v>99</v>
      </c>
      <c r="Z34" s="52"/>
      <c r="AA34" s="52"/>
      <c r="AB34" s="52"/>
      <c r="AC34" s="28"/>
    </row>
    <row r="35" spans="1:29" ht="8.1" customHeight="1" x14ac:dyDescent="0.2">
      <c r="S35" s="22"/>
      <c r="T35" s="52"/>
      <c r="U35" s="52"/>
      <c r="V35" s="52"/>
      <c r="W35" s="52"/>
      <c r="X35" s="52"/>
      <c r="Y35" s="52"/>
      <c r="Z35" s="52"/>
      <c r="AA35" s="52"/>
      <c r="AB35" s="52"/>
      <c r="AC35" s="28"/>
    </row>
    <row r="36" spans="1:29" x14ac:dyDescent="0.2">
      <c r="A36" s="52"/>
      <c r="J36">
        <f>X43*J40</f>
        <v>3.11</v>
      </c>
      <c r="K36" t="s">
        <v>85</v>
      </c>
      <c r="M36" t="s">
        <v>86</v>
      </c>
      <c r="R36" t="s">
        <v>153</v>
      </c>
      <c r="S36" s="22"/>
      <c r="T36" s="52" t="s">
        <v>32</v>
      </c>
      <c r="U36" s="52"/>
      <c r="V36" s="52"/>
      <c r="W36" s="52"/>
      <c r="X36" s="80">
        <v>75</v>
      </c>
      <c r="Y36" s="59" t="s">
        <v>114</v>
      </c>
      <c r="Z36" s="59"/>
      <c r="AA36" s="52"/>
      <c r="AB36" s="52"/>
      <c r="AC36" s="28"/>
    </row>
    <row r="37" spans="1:29" ht="8.1" customHeight="1" x14ac:dyDescent="0.2">
      <c r="A37" t="s">
        <v>11</v>
      </c>
      <c r="B37" s="6">
        <v>1</v>
      </c>
      <c r="S37" s="22"/>
      <c r="T37" s="52"/>
      <c r="U37" s="52"/>
      <c r="V37" s="52"/>
      <c r="W37" s="52"/>
      <c r="X37" s="52"/>
      <c r="Y37" s="52"/>
      <c r="Z37" s="52"/>
      <c r="AA37" s="52"/>
      <c r="AB37" s="52"/>
      <c r="AC37" s="28"/>
    </row>
    <row r="38" spans="1:29" x14ac:dyDescent="0.2">
      <c r="A38">
        <v>1</v>
      </c>
      <c r="B38" t="s">
        <v>12</v>
      </c>
      <c r="C38">
        <v>1</v>
      </c>
      <c r="J38">
        <f>VLOOKUP(B59,$60:$77,7,FALSE)</f>
        <v>612.99999999999989</v>
      </c>
      <c r="K38" t="s">
        <v>82</v>
      </c>
      <c r="M38" t="s">
        <v>84</v>
      </c>
      <c r="R38" t="s">
        <v>152</v>
      </c>
      <c r="S38" s="22"/>
      <c r="T38" s="52" t="s">
        <v>33</v>
      </c>
      <c r="U38" s="52"/>
      <c r="V38" s="52"/>
      <c r="W38" s="52"/>
      <c r="X38" s="55">
        <f>ROUND(VLOOKUP(B59,$60:$77,6,FALSE),1)</f>
        <v>613</v>
      </c>
      <c r="Y38" s="52" t="s">
        <v>197</v>
      </c>
      <c r="Z38" s="52"/>
      <c r="AA38" s="52" t="s">
        <v>169</v>
      </c>
      <c r="AB38" s="56"/>
      <c r="AC38" s="28"/>
    </row>
    <row r="39" spans="1:29" ht="12.75" customHeight="1" x14ac:dyDescent="0.2">
      <c r="A39">
        <v>2</v>
      </c>
      <c r="B39" t="s">
        <v>13</v>
      </c>
      <c r="C39">
        <f>IF(B2=4,1,IF(B8=2,1.5,1))</f>
        <v>1.5</v>
      </c>
      <c r="J39">
        <f>MAX(0,J38-J41)</f>
        <v>426.39999999999986</v>
      </c>
      <c r="K39" t="s">
        <v>82</v>
      </c>
      <c r="M39" t="s">
        <v>89</v>
      </c>
      <c r="S39" s="22"/>
      <c r="T39" s="52"/>
      <c r="U39" s="52"/>
      <c r="V39" s="52"/>
      <c r="W39" s="52"/>
      <c r="X39" s="52"/>
      <c r="Y39" s="52" t="s">
        <v>208</v>
      </c>
      <c r="Z39" s="52"/>
      <c r="AC39" s="28"/>
    </row>
    <row r="40" spans="1:29" x14ac:dyDescent="0.2">
      <c r="A40" t="s">
        <v>8</v>
      </c>
      <c r="B40" s="6">
        <v>2</v>
      </c>
      <c r="C40">
        <f>VLOOKUP(B40,$41:$44,3,FALSE)</f>
        <v>270000</v>
      </c>
      <c r="D40">
        <f>VLOOKUP(B40,$41:$44,4,FALSE)</f>
        <v>225000</v>
      </c>
      <c r="J40">
        <v>1244</v>
      </c>
      <c r="K40" t="s">
        <v>82</v>
      </c>
      <c r="M40" t="s">
        <v>88</v>
      </c>
      <c r="R40" t="s">
        <v>151</v>
      </c>
      <c r="S40" s="22"/>
      <c r="T40" s="52" t="s">
        <v>58</v>
      </c>
      <c r="U40" s="52"/>
      <c r="V40" s="52"/>
      <c r="W40" s="52"/>
      <c r="X40" s="55">
        <f>D18</f>
        <v>291</v>
      </c>
      <c r="Y40" s="52" t="s">
        <v>204</v>
      </c>
      <c r="Z40" s="52"/>
      <c r="AA40" s="82" t="s">
        <v>196</v>
      </c>
      <c r="AB40" s="58"/>
      <c r="AC40" s="28"/>
    </row>
    <row r="41" spans="1:29" x14ac:dyDescent="0.2">
      <c r="A41">
        <v>1</v>
      </c>
      <c r="B41" s="3">
        <v>0.45</v>
      </c>
      <c r="C41" s="12">
        <f>(X$22 +IF($B$82=2,$X$48,0))*B41</f>
        <v>270000</v>
      </c>
      <c r="D41" s="12">
        <f>(X$24 +IF($B$82=2,$X$48,0))*B41</f>
        <v>225000</v>
      </c>
      <c r="E41" t="s">
        <v>40</v>
      </c>
      <c r="J41">
        <f>J36*(X$36-J$34)</f>
        <v>186.6</v>
      </c>
      <c r="K41" t="s">
        <v>82</v>
      </c>
      <c r="M41" t="s">
        <v>87</v>
      </c>
      <c r="S41" s="22"/>
      <c r="T41" s="52" t="s">
        <v>59</v>
      </c>
      <c r="U41" s="52"/>
      <c r="V41" s="52"/>
      <c r="W41" s="52"/>
      <c r="X41" s="52"/>
      <c r="Y41" s="52"/>
      <c r="Z41" s="52"/>
      <c r="AA41" s="52"/>
      <c r="AB41" s="52"/>
      <c r="AC41" s="28"/>
    </row>
    <row r="42" spans="1:29" ht="8.1" customHeight="1" x14ac:dyDescent="0.2">
      <c r="A42">
        <v>2</v>
      </c>
      <c r="B42" s="3">
        <f>IF(B45=2,50%,45%)</f>
        <v>0.45</v>
      </c>
      <c r="C42">
        <f>(X$22 +IF($B$82=2,$X$48,0))*B42</f>
        <v>270000</v>
      </c>
      <c r="D42" s="12">
        <f>(X$24 +IF($B$82=2,$X$48,0))*B42</f>
        <v>225000</v>
      </c>
      <c r="E42" t="s">
        <v>41</v>
      </c>
      <c r="S42" s="22"/>
      <c r="T42" s="52"/>
      <c r="U42" s="52"/>
      <c r="V42" s="52"/>
      <c r="W42" s="52"/>
      <c r="X42" s="52"/>
      <c r="Y42" s="52"/>
      <c r="Z42" s="52"/>
      <c r="AA42" s="52"/>
      <c r="AB42" s="52"/>
      <c r="AC42" s="28"/>
    </row>
    <row r="43" spans="1:29" x14ac:dyDescent="0.2">
      <c r="A43">
        <v>3</v>
      </c>
      <c r="B43" s="3">
        <v>0.55000000000000004</v>
      </c>
      <c r="C43">
        <f>(X$22 +IF($B$82=2,$X$48,0))*B43</f>
        <v>330000</v>
      </c>
      <c r="D43" s="12">
        <f>(X$24 +IF($B$82=2,$X$48,0))*B43</f>
        <v>275000</v>
      </c>
      <c r="E43" t="s">
        <v>42</v>
      </c>
      <c r="J43">
        <f>MAX(0,E18-J41)</f>
        <v>104.4</v>
      </c>
      <c r="K43" t="s">
        <v>82</v>
      </c>
      <c r="M43" t="s">
        <v>148</v>
      </c>
      <c r="R43" t="s">
        <v>150</v>
      </c>
      <c r="S43" s="22"/>
      <c r="T43" s="52" t="s">
        <v>70</v>
      </c>
      <c r="U43" s="52"/>
      <c r="V43" s="52"/>
      <c r="W43" s="52"/>
      <c r="X43" s="69">
        <v>2.5000000000000001E-3</v>
      </c>
      <c r="Y43" s="52" t="s">
        <v>198</v>
      </c>
      <c r="Z43" s="52"/>
      <c r="AA43" s="52"/>
      <c r="AB43" s="52"/>
      <c r="AC43" s="28"/>
    </row>
    <row r="44" spans="1:29" x14ac:dyDescent="0.2">
      <c r="A44">
        <v>4</v>
      </c>
      <c r="B44" s="2" t="s">
        <v>7</v>
      </c>
      <c r="C44">
        <f>(X$22 +IF($B$82=2,$X$48,0))*X$26</f>
        <v>600000</v>
      </c>
      <c r="D44" s="12">
        <f>(X$24 +IF($B$82=2,$X$48,0))*X$26</f>
        <v>500000</v>
      </c>
      <c r="E44" t="s">
        <v>108</v>
      </c>
      <c r="S44" s="22"/>
      <c r="T44" s="52"/>
      <c r="U44" s="52"/>
      <c r="V44" s="52"/>
      <c r="W44" s="52"/>
      <c r="X44" s="52"/>
      <c r="Y44" s="52" t="s">
        <v>205</v>
      </c>
      <c r="Z44" s="52"/>
      <c r="AA44" s="52"/>
      <c r="AB44" s="52"/>
      <c r="AC44" s="28"/>
    </row>
    <row r="45" spans="1:29" ht="6" customHeight="1" x14ac:dyDescent="0.2">
      <c r="A45" t="s">
        <v>2</v>
      </c>
      <c r="B45" s="6">
        <v>1</v>
      </c>
      <c r="S45" s="22"/>
      <c r="T45" s="52"/>
      <c r="U45" s="52"/>
      <c r="V45" s="52"/>
      <c r="W45" s="52"/>
      <c r="X45" s="52"/>
      <c r="Y45" s="52"/>
      <c r="Z45" s="52"/>
      <c r="AA45" s="52"/>
      <c r="AB45" s="52"/>
      <c r="AC45" s="28"/>
    </row>
    <row r="46" spans="1:29" x14ac:dyDescent="0.2">
      <c r="A46">
        <v>1</v>
      </c>
      <c r="B46" t="s">
        <v>12</v>
      </c>
      <c r="J46">
        <f>MIN(J50,MIN(X48*D84/100,1000000))</f>
        <v>30000</v>
      </c>
      <c r="K46" t="s">
        <v>105</v>
      </c>
      <c r="S46" s="22"/>
      <c r="T46" s="52"/>
      <c r="U46" s="52"/>
      <c r="V46" s="52"/>
      <c r="W46" s="52"/>
      <c r="X46" s="70" t="str">
        <f>ROUND(J39,0)&amp;" / "&amp;IF(B18=16," -",ROUND(J43,0))</f>
        <v>426 / 104</v>
      </c>
      <c r="Y46" s="52" t="s">
        <v>199</v>
      </c>
      <c r="Z46" s="52"/>
      <c r="AA46" s="52"/>
      <c r="AB46" s="52"/>
      <c r="AC46" s="28"/>
    </row>
    <row r="47" spans="1:29" ht="6" customHeight="1" x14ac:dyDescent="0.2">
      <c r="A47">
        <v>2</v>
      </c>
      <c r="B47" t="s">
        <v>13</v>
      </c>
      <c r="S47" s="22"/>
      <c r="T47" s="52"/>
      <c r="U47" s="52"/>
      <c r="V47" s="52"/>
      <c r="W47" s="52"/>
      <c r="X47" s="52"/>
      <c r="Y47" s="52"/>
      <c r="Z47" s="52"/>
      <c r="AA47" s="52"/>
      <c r="AB47" s="52"/>
      <c r="AC47" s="28"/>
    </row>
    <row r="48" spans="1:29" x14ac:dyDescent="0.2">
      <c r="A48" t="s">
        <v>1</v>
      </c>
      <c r="B48" s="6">
        <v>1</v>
      </c>
      <c r="J48">
        <f>X48-J46</f>
        <v>70000</v>
      </c>
      <c r="K48" t="s">
        <v>106</v>
      </c>
      <c r="R48" t="s">
        <v>149</v>
      </c>
      <c r="S48" s="22"/>
      <c r="T48" s="52" t="s">
        <v>103</v>
      </c>
      <c r="U48" s="52"/>
      <c r="V48" s="52"/>
      <c r="W48" s="52"/>
      <c r="X48" s="81">
        <v>100000</v>
      </c>
      <c r="Y48" s="52" t="s">
        <v>104</v>
      </c>
      <c r="Z48" s="52"/>
      <c r="AA48" s="52"/>
      <c r="AB48" s="52"/>
      <c r="AC48" s="28"/>
    </row>
    <row r="49" spans="1:29" ht="6" customHeight="1" x14ac:dyDescent="0.2">
      <c r="A49">
        <v>1</v>
      </c>
      <c r="B49" t="s">
        <v>12</v>
      </c>
      <c r="C49">
        <v>0</v>
      </c>
      <c r="S49" s="71"/>
      <c r="T49" s="54"/>
      <c r="U49" s="52"/>
      <c r="V49" s="52"/>
      <c r="W49" s="52"/>
      <c r="X49" s="72"/>
      <c r="Y49" s="52"/>
      <c r="Z49" s="52"/>
      <c r="AA49" s="52"/>
      <c r="AB49" s="52"/>
      <c r="AC49" s="28"/>
    </row>
    <row r="50" spans="1:29" x14ac:dyDescent="0.2">
      <c r="A50">
        <v>2</v>
      </c>
      <c r="B50" t="s">
        <v>13</v>
      </c>
      <c r="C50">
        <f>IF(B8=2,500,0)</f>
        <v>500</v>
      </c>
      <c r="J50">
        <f>X50*250</f>
        <v>37500</v>
      </c>
      <c r="K50" t="s">
        <v>107</v>
      </c>
      <c r="S50" s="71"/>
      <c r="T50" s="52"/>
      <c r="U50" s="52"/>
      <c r="V50" s="52"/>
      <c r="W50" s="52"/>
      <c r="X50" s="73">
        <v>150</v>
      </c>
      <c r="Y50" s="52" t="s">
        <v>200</v>
      </c>
      <c r="Z50" s="52"/>
      <c r="AA50" s="52"/>
      <c r="AB50" s="52"/>
      <c r="AC50" s="28"/>
    </row>
    <row r="51" spans="1:29" ht="32.25" customHeight="1" thickBot="1" x14ac:dyDescent="0.25">
      <c r="A51" t="s">
        <v>32</v>
      </c>
      <c r="B51" s="6">
        <v>1</v>
      </c>
      <c r="S51" s="74"/>
      <c r="T51" s="121" t="s">
        <v>216</v>
      </c>
      <c r="U51" s="122"/>
      <c r="V51" s="122"/>
      <c r="W51" s="122"/>
      <c r="X51" s="122"/>
      <c r="Y51" s="122"/>
      <c r="Z51" s="122"/>
      <c r="AA51" s="122"/>
      <c r="AB51" s="122"/>
      <c r="AC51" s="75"/>
    </row>
    <row r="52" spans="1:29" x14ac:dyDescent="0.2">
      <c r="A52">
        <v>1</v>
      </c>
      <c r="B52" t="s">
        <v>12</v>
      </c>
      <c r="C52">
        <v>0</v>
      </c>
      <c r="J52">
        <v>300</v>
      </c>
      <c r="K52" t="s">
        <v>179</v>
      </c>
      <c r="L52" t="s">
        <v>180</v>
      </c>
    </row>
    <row r="53" spans="1:29" x14ac:dyDescent="0.2">
      <c r="A53">
        <v>2</v>
      </c>
      <c r="B53" t="s">
        <v>13</v>
      </c>
      <c r="C53">
        <v>500</v>
      </c>
      <c r="J53">
        <v>1500</v>
      </c>
      <c r="K53" t="s">
        <v>179</v>
      </c>
      <c r="L53" t="s">
        <v>181</v>
      </c>
    </row>
    <row r="54" spans="1:29" x14ac:dyDescent="0.2">
      <c r="A54" t="s">
        <v>33</v>
      </c>
      <c r="B54" s="6">
        <v>1</v>
      </c>
      <c r="U54" s="91"/>
      <c r="V54" s="92"/>
    </row>
    <row r="55" spans="1:29" x14ac:dyDescent="0.2">
      <c r="A55">
        <v>1</v>
      </c>
      <c r="B55" t="s">
        <v>12</v>
      </c>
      <c r="C55">
        <v>0</v>
      </c>
    </row>
    <row r="56" spans="1:29" x14ac:dyDescent="0.2">
      <c r="A56">
        <v>2</v>
      </c>
      <c r="B56" t="s">
        <v>13</v>
      </c>
      <c r="C56">
        <v>500</v>
      </c>
    </row>
    <row r="57" spans="1:29" x14ac:dyDescent="0.2">
      <c r="E57">
        <v>50</v>
      </c>
      <c r="F57">
        <v>75</v>
      </c>
      <c r="G57">
        <f>X36</f>
        <v>75</v>
      </c>
      <c r="H57">
        <v>25</v>
      </c>
    </row>
    <row r="58" spans="1:29" x14ac:dyDescent="0.2">
      <c r="F58" t="s">
        <v>79</v>
      </c>
    </row>
    <row r="59" spans="1:29" x14ac:dyDescent="0.2">
      <c r="B59" s="6">
        <v>1</v>
      </c>
      <c r="C59" t="s">
        <v>55</v>
      </c>
      <c r="E59" t="s">
        <v>56</v>
      </c>
    </row>
    <row r="60" spans="1:29" x14ac:dyDescent="0.2">
      <c r="A60">
        <v>1</v>
      </c>
      <c r="B60" t="s">
        <v>158</v>
      </c>
      <c r="D60">
        <v>1</v>
      </c>
      <c r="E60">
        <v>678</v>
      </c>
      <c r="F60">
        <v>613</v>
      </c>
      <c r="G60">
        <f t="shared" ref="G60:G71" si="21">TREND(E60:F60,E$57:F$57,G$57)</f>
        <v>612.99999999999989</v>
      </c>
      <c r="H60" t="str">
        <f t="shared" ref="H60:H71" si="22">ROUND(E60,1)&amp;" "&amp;B60</f>
        <v>678 Plasma-CPC-VRK (Großanlagen)</v>
      </c>
      <c r="R60" s="11"/>
    </row>
    <row r="61" spans="1:29" x14ac:dyDescent="0.2">
      <c r="A61">
        <v>2</v>
      </c>
      <c r="B61" t="s">
        <v>159</v>
      </c>
      <c r="D61">
        <v>2</v>
      </c>
      <c r="E61">
        <v>679</v>
      </c>
      <c r="F61">
        <v>597</v>
      </c>
      <c r="G61">
        <f t="shared" si="21"/>
        <v>597</v>
      </c>
      <c r="H61" t="str">
        <f t="shared" si="22"/>
        <v>679 Vakuum-FK (seit 2012)</v>
      </c>
      <c r="R61" s="11"/>
    </row>
    <row r="62" spans="1:29" x14ac:dyDescent="0.2">
      <c r="A62">
        <v>3</v>
      </c>
      <c r="B62" t="s">
        <v>161</v>
      </c>
      <c r="D62">
        <v>1</v>
      </c>
      <c r="E62">
        <v>667</v>
      </c>
      <c r="F62">
        <v>603</v>
      </c>
      <c r="G62">
        <f t="shared" si="21"/>
        <v>603</v>
      </c>
      <c r="H62" t="str">
        <f t="shared" si="22"/>
        <v>667 Plasma-CPC-VRK (seit 2012)</v>
      </c>
      <c r="R62" s="11"/>
    </row>
    <row r="63" spans="1:29" x14ac:dyDescent="0.2">
      <c r="A63">
        <v>4</v>
      </c>
      <c r="B63" t="s">
        <v>160</v>
      </c>
      <c r="D63">
        <v>1</v>
      </c>
      <c r="E63">
        <v>605</v>
      </c>
      <c r="F63">
        <v>523</v>
      </c>
      <c r="G63">
        <f t="shared" si="21"/>
        <v>523</v>
      </c>
      <c r="H63" t="str">
        <f t="shared" si="22"/>
        <v>605 guter CPC-VRK (seit 1998)</v>
      </c>
      <c r="R63" s="11"/>
    </row>
    <row r="64" spans="1:29" x14ac:dyDescent="0.2">
      <c r="A64">
        <v>5</v>
      </c>
      <c r="B64" t="s">
        <v>143</v>
      </c>
      <c r="D64">
        <v>1</v>
      </c>
      <c r="E64">
        <v>594</v>
      </c>
      <c r="F64">
        <v>493</v>
      </c>
      <c r="G64">
        <f t="shared" si="21"/>
        <v>492.99999999999994</v>
      </c>
      <c r="H64" t="str">
        <f t="shared" si="22"/>
        <v>594 bester VRK ohne CPC-Spiegel</v>
      </c>
      <c r="R64" s="11"/>
    </row>
    <row r="65" spans="1:9" x14ac:dyDescent="0.2">
      <c r="A65">
        <v>6</v>
      </c>
      <c r="B65" t="s">
        <v>164</v>
      </c>
      <c r="D65">
        <v>2</v>
      </c>
      <c r="E65">
        <v>573</v>
      </c>
      <c r="F65">
        <v>422</v>
      </c>
      <c r="G65">
        <f t="shared" si="21"/>
        <v>421.99999999999994</v>
      </c>
      <c r="H65" t="str">
        <f t="shared" si="22"/>
        <v>573 bester Großflächen-FK (Glas+Folie)</v>
      </c>
    </row>
    <row r="66" spans="1:9" x14ac:dyDescent="0.2">
      <c r="A66">
        <v>7</v>
      </c>
      <c r="B66" t="s">
        <v>162</v>
      </c>
      <c r="D66">
        <v>1</v>
      </c>
      <c r="E66">
        <v>564</v>
      </c>
      <c r="F66">
        <v>501</v>
      </c>
      <c r="G66">
        <f t="shared" si="21"/>
        <v>501</v>
      </c>
      <c r="H66" t="str">
        <f t="shared" si="22"/>
        <v>564 CPC-VRK (Standard)</v>
      </c>
    </row>
    <row r="67" spans="1:9" x14ac:dyDescent="0.2">
      <c r="A67">
        <v>8</v>
      </c>
      <c r="B67" t="s">
        <v>147</v>
      </c>
      <c r="D67">
        <v>1</v>
      </c>
      <c r="E67">
        <v>527</v>
      </c>
      <c r="F67">
        <v>430</v>
      </c>
      <c r="G67">
        <f t="shared" si="21"/>
        <v>430</v>
      </c>
      <c r="H67" t="str">
        <f t="shared" si="22"/>
        <v>527 direkt durchströmter VRK</v>
      </c>
    </row>
    <row r="68" spans="1:9" x14ac:dyDescent="0.2">
      <c r="A68">
        <v>9</v>
      </c>
      <c r="B68" t="s">
        <v>76</v>
      </c>
      <c r="D68">
        <v>1</v>
      </c>
      <c r="E68">
        <v>497</v>
      </c>
      <c r="F68">
        <v>423</v>
      </c>
      <c r="G68">
        <f t="shared" si="21"/>
        <v>423</v>
      </c>
      <c r="H68" t="str">
        <f t="shared" si="22"/>
        <v>497 Heat-Pipe-VRK</v>
      </c>
    </row>
    <row r="69" spans="1:9" x14ac:dyDescent="0.2">
      <c r="A69">
        <v>10</v>
      </c>
      <c r="B69" t="s">
        <v>144</v>
      </c>
      <c r="D69">
        <v>2</v>
      </c>
      <c r="E69">
        <v>474</v>
      </c>
      <c r="F69">
        <v>291</v>
      </c>
      <c r="G69">
        <f t="shared" si="21"/>
        <v>291</v>
      </c>
      <c r="H69" t="str">
        <f t="shared" si="22"/>
        <v xml:space="preserve">474 guter FK mit selektivem Absorber </v>
      </c>
    </row>
    <row r="70" spans="1:9" x14ac:dyDescent="0.2">
      <c r="A70">
        <v>11</v>
      </c>
      <c r="B70" t="s">
        <v>163</v>
      </c>
      <c r="D70">
        <v>2</v>
      </c>
      <c r="E70">
        <v>428</v>
      </c>
      <c r="F70">
        <v>245</v>
      </c>
      <c r="G70">
        <f t="shared" si="21"/>
        <v>245</v>
      </c>
      <c r="H70" t="str">
        <f t="shared" si="22"/>
        <v>428 Großflächen-FK (Österreich)</v>
      </c>
    </row>
    <row r="71" spans="1:9" x14ac:dyDescent="0.2">
      <c r="A71">
        <v>12</v>
      </c>
      <c r="B71" t="s">
        <v>145</v>
      </c>
      <c r="D71">
        <v>2</v>
      </c>
      <c r="E71">
        <v>411</v>
      </c>
      <c r="F71">
        <v>228</v>
      </c>
      <c r="G71">
        <f t="shared" si="21"/>
        <v>228</v>
      </c>
      <c r="H71" t="str">
        <f t="shared" si="22"/>
        <v>411 preiswerter MAP-förderfähiger FK</v>
      </c>
    </row>
    <row r="72" spans="1:9" x14ac:dyDescent="0.2">
      <c r="A72">
        <v>13</v>
      </c>
      <c r="B72" t="s">
        <v>170</v>
      </c>
      <c r="D72">
        <v>2</v>
      </c>
      <c r="E72">
        <v>362</v>
      </c>
      <c r="F72">
        <v>198</v>
      </c>
      <c r="G72">
        <f t="shared" ref="G72:G73" si="23">TREND(E72:F72,E$57:F$57,G$57)</f>
        <v>198.00000000000006</v>
      </c>
      <c r="H72" t="str">
        <f t="shared" ref="H72:H73" si="24">ROUND(E72,1)&amp;" "&amp;B72</f>
        <v>362 sehr preiswerter MAP-FK</v>
      </c>
    </row>
    <row r="73" spans="1:9" x14ac:dyDescent="0.2">
      <c r="A73">
        <v>14</v>
      </c>
      <c r="B73" t="s">
        <v>165</v>
      </c>
      <c r="D73">
        <v>1</v>
      </c>
      <c r="E73">
        <v>311</v>
      </c>
      <c r="F73">
        <v>238</v>
      </c>
      <c r="G73">
        <f t="shared" si="23"/>
        <v>238</v>
      </c>
      <c r="H73" t="str">
        <f t="shared" si="24"/>
        <v>311 Thermosiphon-VRK (China)</v>
      </c>
    </row>
    <row r="74" spans="1:9" x14ac:dyDescent="0.2">
      <c r="A74">
        <v>15</v>
      </c>
    </row>
    <row r="75" spans="1:9" x14ac:dyDescent="0.2">
      <c r="A75">
        <v>16</v>
      </c>
      <c r="B75" t="s">
        <v>102</v>
      </c>
      <c r="E75" s="16">
        <f>AB18</f>
        <v>0</v>
      </c>
      <c r="F75" s="16">
        <f>AB38</f>
        <v>0</v>
      </c>
      <c r="G75">
        <f>TREND(E75:F75,E$57:F$57,G$57)</f>
        <v>0</v>
      </c>
      <c r="H75">
        <f>TREND(E75:F75,E$57:F$57,H$57)</f>
        <v>0</v>
      </c>
      <c r="I75" t="s">
        <v>57</v>
      </c>
    </row>
    <row r="78" spans="1:9" x14ac:dyDescent="0.2">
      <c r="A78" s="5" t="s">
        <v>58</v>
      </c>
    </row>
    <row r="79" spans="1:9" x14ac:dyDescent="0.2">
      <c r="A79" s="5" t="s">
        <v>59</v>
      </c>
      <c r="B79" s="6">
        <v>1</v>
      </c>
    </row>
    <row r="80" spans="1:9" x14ac:dyDescent="0.2">
      <c r="A80">
        <v>1</v>
      </c>
      <c r="B80" t="s">
        <v>12</v>
      </c>
    </row>
    <row r="81" spans="1:4" x14ac:dyDescent="0.2">
      <c r="A81">
        <v>2</v>
      </c>
      <c r="B81" t="s">
        <v>13</v>
      </c>
    </row>
    <row r="82" spans="1:4" x14ac:dyDescent="0.2">
      <c r="A82" s="5" t="s">
        <v>103</v>
      </c>
      <c r="B82" s="6">
        <v>2</v>
      </c>
    </row>
    <row r="83" spans="1:4" x14ac:dyDescent="0.2">
      <c r="A83" s="5">
        <v>1</v>
      </c>
      <c r="B83" t="s">
        <v>12</v>
      </c>
    </row>
    <row r="84" spans="1:4" x14ac:dyDescent="0.2">
      <c r="A84" s="5">
        <v>2</v>
      </c>
      <c r="B84" t="s">
        <v>13</v>
      </c>
      <c r="C84">
        <v>1000000</v>
      </c>
      <c r="D84">
        <v>30</v>
      </c>
    </row>
    <row r="85" spans="1:4" x14ac:dyDescent="0.2">
      <c r="A85" s="5" t="s">
        <v>60</v>
      </c>
      <c r="B85" s="6">
        <v>1</v>
      </c>
    </row>
    <row r="86" spans="1:4" x14ac:dyDescent="0.2">
      <c r="A86">
        <v>1</v>
      </c>
      <c r="B86" t="s">
        <v>67</v>
      </c>
    </row>
    <row r="87" spans="1:4" x14ac:dyDescent="0.2">
      <c r="A87">
        <v>2</v>
      </c>
      <c r="B87" t="s">
        <v>68</v>
      </c>
      <c r="C87">
        <v>50</v>
      </c>
    </row>
    <row r="88" spans="1:4" x14ac:dyDescent="0.2">
      <c r="A88">
        <v>3</v>
      </c>
      <c r="B88" t="s">
        <v>69</v>
      </c>
    </row>
    <row r="90" spans="1:4" x14ac:dyDescent="0.2">
      <c r="A90" t="s">
        <v>22</v>
      </c>
      <c r="B90" s="6">
        <v>1</v>
      </c>
      <c r="D90" s="6"/>
    </row>
    <row r="91" spans="1:4" x14ac:dyDescent="0.2">
      <c r="A91">
        <v>1</v>
      </c>
      <c r="B91" t="s">
        <v>166</v>
      </c>
      <c r="C91">
        <v>50</v>
      </c>
    </row>
    <row r="92" spans="1:4" x14ac:dyDescent="0.2">
      <c r="A92">
        <v>2</v>
      </c>
      <c r="B92" t="s">
        <v>167</v>
      </c>
      <c r="C92">
        <v>40</v>
      </c>
    </row>
    <row r="93" spans="1:4" x14ac:dyDescent="0.2">
      <c r="A93" s="11"/>
    </row>
    <row r="94" spans="1:4" x14ac:dyDescent="0.2">
      <c r="A94" s="11"/>
    </row>
    <row r="95" spans="1:4" x14ac:dyDescent="0.2">
      <c r="A95" s="11"/>
      <c r="C95" t="s">
        <v>101</v>
      </c>
    </row>
    <row r="97" spans="1:9" x14ac:dyDescent="0.2">
      <c r="A97" t="s">
        <v>90</v>
      </c>
      <c r="B97" s="10">
        <f t="shared" ref="B97:B105" si="25">C97/100/60</f>
        <v>1.5E-3</v>
      </c>
      <c r="C97">
        <v>9</v>
      </c>
    </row>
    <row r="98" spans="1:9" x14ac:dyDescent="0.2">
      <c r="A98" t="s">
        <v>91</v>
      </c>
      <c r="B98" s="10">
        <f t="shared" si="25"/>
        <v>2.1666666666666666E-3</v>
      </c>
      <c r="C98">
        <v>13</v>
      </c>
    </row>
    <row r="99" spans="1:9" x14ac:dyDescent="0.2">
      <c r="A99" t="s">
        <v>92</v>
      </c>
      <c r="B99" s="10">
        <f t="shared" si="25"/>
        <v>4.1666666666666666E-3</v>
      </c>
      <c r="C99">
        <v>25</v>
      </c>
    </row>
    <row r="100" spans="1:9" x14ac:dyDescent="0.2">
      <c r="A100" t="s">
        <v>93</v>
      </c>
      <c r="B100" s="10">
        <f t="shared" si="25"/>
        <v>3.3333333333333335E-3</v>
      </c>
      <c r="C100">
        <v>20</v>
      </c>
    </row>
    <row r="101" spans="1:9" x14ac:dyDescent="0.2">
      <c r="A101" t="s">
        <v>94</v>
      </c>
      <c r="B101" s="10">
        <f t="shared" si="25"/>
        <v>2E-3</v>
      </c>
      <c r="C101">
        <v>12</v>
      </c>
    </row>
    <row r="102" spans="1:9" x14ac:dyDescent="0.2">
      <c r="A102" t="s">
        <v>95</v>
      </c>
      <c r="B102" s="10">
        <f t="shared" si="25"/>
        <v>3.3333333333333335E-3</v>
      </c>
      <c r="C102">
        <v>20</v>
      </c>
    </row>
    <row r="103" spans="1:9" x14ac:dyDescent="0.2">
      <c r="A103" t="s">
        <v>96</v>
      </c>
      <c r="B103" s="10">
        <f t="shared" si="25"/>
        <v>7.5000000000000006E-3</v>
      </c>
      <c r="C103">
        <v>45</v>
      </c>
    </row>
    <row r="104" spans="1:9" x14ac:dyDescent="0.2">
      <c r="A104" t="s">
        <v>98</v>
      </c>
      <c r="B104" s="10">
        <f t="shared" si="25"/>
        <v>1.1666666666666668E-3</v>
      </c>
      <c r="C104">
        <v>7</v>
      </c>
    </row>
    <row r="105" spans="1:9" x14ac:dyDescent="0.2">
      <c r="A105" t="s">
        <v>97</v>
      </c>
      <c r="B105" s="10">
        <f t="shared" si="25"/>
        <v>0</v>
      </c>
      <c r="C105">
        <v>0</v>
      </c>
    </row>
    <row r="109" spans="1:9" x14ac:dyDescent="0.2">
      <c r="A109" t="s">
        <v>128</v>
      </c>
      <c r="B109" t="s">
        <v>158</v>
      </c>
      <c r="C109">
        <v>678</v>
      </c>
      <c r="D109">
        <v>613</v>
      </c>
      <c r="G109">
        <f t="shared" ref="G109:G122" si="26">C109*A$1/100</f>
        <v>305.10000000000002</v>
      </c>
      <c r="I109">
        <f>I110+1</f>
        <v>2</v>
      </c>
    </row>
    <row r="110" spans="1:9" x14ac:dyDescent="0.2">
      <c r="A110" t="s">
        <v>127</v>
      </c>
      <c r="B110" t="s">
        <v>159</v>
      </c>
      <c r="C110">
        <v>679</v>
      </c>
      <c r="D110">
        <v>597</v>
      </c>
      <c r="G110">
        <f t="shared" si="26"/>
        <v>305.55</v>
      </c>
      <c r="I110">
        <v>1</v>
      </c>
    </row>
    <row r="111" spans="1:9" x14ac:dyDescent="0.2">
      <c r="A111" t="s">
        <v>140</v>
      </c>
      <c r="B111" t="s">
        <v>161</v>
      </c>
      <c r="C111">
        <v>667</v>
      </c>
      <c r="D111">
        <v>603</v>
      </c>
      <c r="G111">
        <f t="shared" si="26"/>
        <v>300.14999999999998</v>
      </c>
      <c r="I111">
        <f>I109+1</f>
        <v>3</v>
      </c>
    </row>
    <row r="112" spans="1:9" x14ac:dyDescent="0.2">
      <c r="A112" t="s">
        <v>139</v>
      </c>
      <c r="B112" t="s">
        <v>160</v>
      </c>
      <c r="C112">
        <v>605</v>
      </c>
      <c r="D112">
        <v>523</v>
      </c>
      <c r="G112">
        <f t="shared" si="26"/>
        <v>272.25</v>
      </c>
      <c r="I112">
        <f t="shared" ref="I112:I122" si="27">I111+1</f>
        <v>4</v>
      </c>
    </row>
    <row r="113" spans="1:9" x14ac:dyDescent="0.2">
      <c r="A113" t="s">
        <v>135</v>
      </c>
      <c r="B113" t="s">
        <v>143</v>
      </c>
      <c r="C113">
        <v>594</v>
      </c>
      <c r="D113">
        <v>493</v>
      </c>
      <c r="G113">
        <f t="shared" si="26"/>
        <v>267.3</v>
      </c>
      <c r="I113">
        <f t="shared" si="27"/>
        <v>5</v>
      </c>
    </row>
    <row r="114" spans="1:9" x14ac:dyDescent="0.2">
      <c r="A114" t="s">
        <v>132</v>
      </c>
      <c r="B114" t="s">
        <v>164</v>
      </c>
      <c r="C114">
        <v>573</v>
      </c>
      <c r="D114">
        <v>422</v>
      </c>
      <c r="G114">
        <f t="shared" si="26"/>
        <v>257.85000000000002</v>
      </c>
      <c r="I114">
        <f t="shared" si="27"/>
        <v>6</v>
      </c>
    </row>
    <row r="115" spans="1:9" x14ac:dyDescent="0.2">
      <c r="A115" t="s">
        <v>129</v>
      </c>
      <c r="B115" t="s">
        <v>162</v>
      </c>
      <c r="C115">
        <v>564</v>
      </c>
      <c r="D115">
        <v>501</v>
      </c>
      <c r="G115">
        <f t="shared" si="26"/>
        <v>253.8</v>
      </c>
      <c r="I115">
        <f t="shared" si="27"/>
        <v>7</v>
      </c>
    </row>
    <row r="116" spans="1:9" x14ac:dyDescent="0.2">
      <c r="A116" t="s">
        <v>131</v>
      </c>
      <c r="B116" t="s">
        <v>147</v>
      </c>
      <c r="C116">
        <v>527</v>
      </c>
      <c r="D116">
        <v>430</v>
      </c>
      <c r="G116">
        <f t="shared" si="26"/>
        <v>237.15</v>
      </c>
      <c r="I116">
        <f t="shared" si="27"/>
        <v>8</v>
      </c>
    </row>
    <row r="117" spans="1:9" x14ac:dyDescent="0.2">
      <c r="A117" t="s">
        <v>130</v>
      </c>
      <c r="B117" t="s">
        <v>76</v>
      </c>
      <c r="C117">
        <v>497</v>
      </c>
      <c r="D117">
        <v>423</v>
      </c>
      <c r="G117">
        <f t="shared" si="26"/>
        <v>223.65</v>
      </c>
      <c r="I117">
        <f t="shared" si="27"/>
        <v>9</v>
      </c>
    </row>
    <row r="118" spans="1:9" x14ac:dyDescent="0.2">
      <c r="A118" t="s">
        <v>133</v>
      </c>
      <c r="B118" t="s">
        <v>144</v>
      </c>
      <c r="C118">
        <v>474</v>
      </c>
      <c r="D118">
        <v>291</v>
      </c>
      <c r="G118">
        <f t="shared" si="26"/>
        <v>213.3</v>
      </c>
      <c r="I118">
        <f t="shared" si="27"/>
        <v>10</v>
      </c>
    </row>
    <row r="119" spans="1:9" x14ac:dyDescent="0.2">
      <c r="A119" t="s">
        <v>138</v>
      </c>
      <c r="B119" t="s">
        <v>163</v>
      </c>
      <c r="C119">
        <v>428</v>
      </c>
      <c r="D119">
        <v>245</v>
      </c>
      <c r="G119">
        <f t="shared" si="26"/>
        <v>192.6</v>
      </c>
      <c r="I119">
        <f t="shared" si="27"/>
        <v>11</v>
      </c>
    </row>
    <row r="120" spans="1:9" x14ac:dyDescent="0.2">
      <c r="A120" t="s">
        <v>134</v>
      </c>
      <c r="B120" t="s">
        <v>145</v>
      </c>
      <c r="C120">
        <v>411</v>
      </c>
      <c r="D120">
        <v>228</v>
      </c>
      <c r="G120">
        <f t="shared" si="26"/>
        <v>184.95</v>
      </c>
      <c r="I120">
        <f t="shared" si="27"/>
        <v>12</v>
      </c>
    </row>
    <row r="121" spans="1:9" x14ac:dyDescent="0.2">
      <c r="A121" t="s">
        <v>137</v>
      </c>
      <c r="B121" t="s">
        <v>146</v>
      </c>
      <c r="C121">
        <v>362</v>
      </c>
      <c r="D121">
        <v>198</v>
      </c>
      <c r="G121">
        <f t="shared" si="26"/>
        <v>162.9</v>
      </c>
      <c r="I121">
        <f t="shared" si="27"/>
        <v>13</v>
      </c>
    </row>
    <row r="122" spans="1:9" x14ac:dyDescent="0.2">
      <c r="A122" t="s">
        <v>136</v>
      </c>
      <c r="B122" t="s">
        <v>165</v>
      </c>
      <c r="C122">
        <v>311</v>
      </c>
      <c r="D122">
        <v>238</v>
      </c>
      <c r="G122">
        <f t="shared" si="26"/>
        <v>139.94999999999999</v>
      </c>
      <c r="I122">
        <f t="shared" si="27"/>
        <v>14</v>
      </c>
    </row>
    <row r="125" spans="1:9" x14ac:dyDescent="0.2">
      <c r="A125">
        <v>1</v>
      </c>
      <c r="B125" t="s">
        <v>71</v>
      </c>
      <c r="C125">
        <v>570</v>
      </c>
      <c r="D125">
        <v>418</v>
      </c>
    </row>
    <row r="126" spans="1:9" x14ac:dyDescent="0.2">
      <c r="A126">
        <v>2</v>
      </c>
      <c r="B126" t="s">
        <v>72</v>
      </c>
      <c r="C126">
        <v>500</v>
      </c>
      <c r="D126">
        <v>295</v>
      </c>
    </row>
    <row r="127" spans="1:9" x14ac:dyDescent="0.2">
      <c r="A127">
        <v>3</v>
      </c>
      <c r="B127" t="s">
        <v>73</v>
      </c>
      <c r="C127">
        <v>410</v>
      </c>
      <c r="D127">
        <v>227</v>
      </c>
    </row>
    <row r="128" spans="1:9" x14ac:dyDescent="0.2">
      <c r="A128">
        <v>4</v>
      </c>
      <c r="B128" t="s">
        <v>75</v>
      </c>
      <c r="C128">
        <v>545</v>
      </c>
      <c r="D128">
        <v>447</v>
      </c>
    </row>
    <row r="129" spans="1:6" x14ac:dyDescent="0.2">
      <c r="A129">
        <v>5</v>
      </c>
      <c r="B129" t="s">
        <v>74</v>
      </c>
      <c r="C129">
        <v>590</v>
      </c>
      <c r="D129">
        <v>505</v>
      </c>
    </row>
    <row r="130" spans="1:6" x14ac:dyDescent="0.2">
      <c r="A130">
        <v>6</v>
      </c>
      <c r="B130" t="s">
        <v>76</v>
      </c>
      <c r="C130">
        <v>497</v>
      </c>
      <c r="D130">
        <v>423</v>
      </c>
    </row>
    <row r="131" spans="1:6" x14ac:dyDescent="0.2">
      <c r="A131">
        <v>7</v>
      </c>
      <c r="B131" t="s">
        <v>77</v>
      </c>
      <c r="C131">
        <v>600</v>
      </c>
      <c r="D131">
        <v>520</v>
      </c>
    </row>
    <row r="134" spans="1:6" x14ac:dyDescent="0.2">
      <c r="A134" t="s">
        <v>127</v>
      </c>
      <c r="B134" t="s">
        <v>116</v>
      </c>
      <c r="E134">
        <v>679</v>
      </c>
      <c r="F134">
        <v>597</v>
      </c>
    </row>
    <row r="135" spans="1:6" x14ac:dyDescent="0.2">
      <c r="A135" t="s">
        <v>128</v>
      </c>
      <c r="B135" t="s">
        <v>124</v>
      </c>
      <c r="E135">
        <v>678</v>
      </c>
      <c r="F135">
        <v>613</v>
      </c>
    </row>
    <row r="136" spans="1:6" x14ac:dyDescent="0.2">
      <c r="A136" t="s">
        <v>139</v>
      </c>
      <c r="B136" t="s">
        <v>117</v>
      </c>
      <c r="E136">
        <v>605</v>
      </c>
      <c r="F136">
        <v>523</v>
      </c>
    </row>
    <row r="137" spans="1:6" x14ac:dyDescent="0.2">
      <c r="A137" t="s">
        <v>135</v>
      </c>
      <c r="B137" t="s">
        <v>123</v>
      </c>
      <c r="E137">
        <v>594</v>
      </c>
      <c r="F137">
        <v>493</v>
      </c>
    </row>
    <row r="138" spans="1:6" x14ac:dyDescent="0.2">
      <c r="A138" t="s">
        <v>132</v>
      </c>
      <c r="B138" t="s">
        <v>120</v>
      </c>
      <c r="E138">
        <v>573</v>
      </c>
      <c r="F138">
        <v>422</v>
      </c>
    </row>
    <row r="139" spans="1:6" x14ac:dyDescent="0.2">
      <c r="A139" t="s">
        <v>129</v>
      </c>
      <c r="B139" t="s">
        <v>126</v>
      </c>
      <c r="E139">
        <v>564</v>
      </c>
      <c r="F139">
        <v>501</v>
      </c>
    </row>
    <row r="140" spans="1:6" x14ac:dyDescent="0.2">
      <c r="A140" t="s">
        <v>131</v>
      </c>
      <c r="B140" t="s">
        <v>119</v>
      </c>
      <c r="E140">
        <v>527</v>
      </c>
      <c r="F140">
        <v>430</v>
      </c>
    </row>
    <row r="141" spans="1:6" x14ac:dyDescent="0.2">
      <c r="A141" t="s">
        <v>130</v>
      </c>
      <c r="B141" t="s">
        <v>118</v>
      </c>
      <c r="E141">
        <v>497</v>
      </c>
      <c r="F141">
        <v>423</v>
      </c>
    </row>
    <row r="142" spans="1:6" x14ac:dyDescent="0.2">
      <c r="A142" t="s">
        <v>133</v>
      </c>
      <c r="B142" t="s">
        <v>121</v>
      </c>
      <c r="E142">
        <v>474</v>
      </c>
      <c r="F142">
        <v>291</v>
      </c>
    </row>
    <row r="143" spans="1:6" x14ac:dyDescent="0.2">
      <c r="A143" t="s">
        <v>134</v>
      </c>
      <c r="B143" t="s">
        <v>122</v>
      </c>
      <c r="E143">
        <v>411</v>
      </c>
      <c r="F143">
        <v>228</v>
      </c>
    </row>
    <row r="144" spans="1:6" x14ac:dyDescent="0.2">
      <c r="A144" t="s">
        <v>137</v>
      </c>
      <c r="B144" t="s">
        <v>125</v>
      </c>
      <c r="E144">
        <v>362</v>
      </c>
      <c r="F144">
        <v>198</v>
      </c>
    </row>
    <row r="145" spans="1:24" x14ac:dyDescent="0.2">
      <c r="A145" t="s">
        <v>136</v>
      </c>
      <c r="B145" t="s">
        <v>142</v>
      </c>
      <c r="E145">
        <v>311</v>
      </c>
      <c r="F145">
        <v>238</v>
      </c>
    </row>
    <row r="147" spans="1:24" x14ac:dyDescent="0.2">
      <c r="A147">
        <v>1</v>
      </c>
      <c r="B147" t="s">
        <v>45</v>
      </c>
      <c r="C147">
        <v>2.63</v>
      </c>
      <c r="E147">
        <v>648</v>
      </c>
      <c r="F147" s="9">
        <f t="shared" ref="F147:F148" si="28">E147/E148*F148</f>
        <v>585.93660112400983</v>
      </c>
      <c r="G147">
        <f t="shared" ref="G147:G158" si="29">TREND(E147:F147,E$57:F$57,G$57)</f>
        <v>585.93660112400994</v>
      </c>
      <c r="H147" t="str">
        <f>ROUND(E147,1)&amp;" "&amp;B147</f>
        <v>648 XL 15/26 P</v>
      </c>
    </row>
    <row r="148" spans="1:24" x14ac:dyDescent="0.2">
      <c r="A148">
        <v>2</v>
      </c>
      <c r="B148" t="s">
        <v>43</v>
      </c>
      <c r="C148">
        <v>3.93</v>
      </c>
      <c r="E148">
        <v>649</v>
      </c>
      <c r="F148" s="9">
        <f t="shared" si="28"/>
        <v>586.84082427389262</v>
      </c>
      <c r="G148">
        <f t="shared" si="29"/>
        <v>586.84082427389262</v>
      </c>
      <c r="H148" t="str">
        <f t="shared" ref="H148:H158" si="30">ROUND(E148,1)&amp;" "&amp;B148</f>
        <v>649 XL 15/39 P</v>
      </c>
    </row>
    <row r="149" spans="1:24" x14ac:dyDescent="0.2">
      <c r="A149">
        <v>3</v>
      </c>
      <c r="B149" t="s">
        <v>46</v>
      </c>
      <c r="C149">
        <v>3.31</v>
      </c>
      <c r="E149">
        <v>665</v>
      </c>
      <c r="F149" s="9">
        <f>E149/E150*F150</f>
        <v>601.30839467201633</v>
      </c>
      <c r="G149">
        <f t="shared" si="29"/>
        <v>601.30839467201622</v>
      </c>
      <c r="H149" t="str">
        <f t="shared" si="30"/>
        <v>665 XL 19/33 P</v>
      </c>
    </row>
    <row r="150" spans="1:24" x14ac:dyDescent="0.2">
      <c r="A150">
        <v>4</v>
      </c>
      <c r="B150" t="s">
        <v>44</v>
      </c>
      <c r="C150">
        <v>4.9400000000000004</v>
      </c>
      <c r="E150">
        <v>677.93</v>
      </c>
      <c r="F150">
        <v>613</v>
      </c>
      <c r="G150">
        <f t="shared" si="29"/>
        <v>612.99999999999989</v>
      </c>
      <c r="H150" t="str">
        <f t="shared" si="30"/>
        <v>677,9 XL 19/49 P</v>
      </c>
    </row>
    <row r="151" spans="1:24" x14ac:dyDescent="0.2">
      <c r="A151">
        <v>5</v>
      </c>
      <c r="B151" t="s">
        <v>47</v>
      </c>
      <c r="C151">
        <v>2.63</v>
      </c>
      <c r="D151">
        <v>1.5449999999999999</v>
      </c>
      <c r="E151">
        <f>D151/C151*1000</f>
        <v>587.45247148288968</v>
      </c>
      <c r="F151" s="9">
        <f t="shared" ref="F151:F152" si="31">E151/E152*F152</f>
        <v>508.63068176026263</v>
      </c>
      <c r="G151">
        <f t="shared" si="29"/>
        <v>508.63068176026263</v>
      </c>
      <c r="H151" t="str">
        <f t="shared" si="30"/>
        <v>587,5 Star 15/26</v>
      </c>
    </row>
    <row r="152" spans="1:24" x14ac:dyDescent="0.2">
      <c r="A152">
        <v>6</v>
      </c>
      <c r="B152" t="s">
        <v>48</v>
      </c>
      <c r="C152">
        <v>3.93</v>
      </c>
      <c r="D152">
        <v>2.3010000000000002</v>
      </c>
      <c r="E152">
        <f t="shared" ref="E152:E158" si="32">D152/C152*1000</f>
        <v>585.49618320610682</v>
      </c>
      <c r="F152" s="9">
        <f t="shared" si="31"/>
        <v>506.93687964308378</v>
      </c>
      <c r="G152">
        <f t="shared" si="29"/>
        <v>506.9368796430839</v>
      </c>
      <c r="H152" t="str">
        <f t="shared" si="30"/>
        <v>585,5 Star 15/39</v>
      </c>
    </row>
    <row r="153" spans="1:24" x14ac:dyDescent="0.2">
      <c r="A153">
        <v>7</v>
      </c>
      <c r="B153" t="s">
        <v>49</v>
      </c>
      <c r="C153">
        <v>3.31</v>
      </c>
      <c r="D153">
        <v>1.9890000000000001</v>
      </c>
      <c r="E153">
        <f t="shared" si="32"/>
        <v>600.90634441087616</v>
      </c>
      <c r="F153" s="9">
        <f>E153/E154*F154</f>
        <v>520.27937317252952</v>
      </c>
      <c r="G153">
        <f t="shared" si="29"/>
        <v>520.2793731725294</v>
      </c>
      <c r="H153" t="str">
        <f t="shared" si="30"/>
        <v>600,9 Star 19/33</v>
      </c>
    </row>
    <row r="154" spans="1:24" x14ac:dyDescent="0.2">
      <c r="A154">
        <v>8</v>
      </c>
      <c r="B154" t="s">
        <v>50</v>
      </c>
      <c r="C154">
        <v>4.9400000000000004</v>
      </c>
      <c r="D154">
        <v>2.984</v>
      </c>
      <c r="E154">
        <f t="shared" si="32"/>
        <v>604.04858299595128</v>
      </c>
      <c r="F154">
        <v>523</v>
      </c>
      <c r="G154">
        <f t="shared" si="29"/>
        <v>523</v>
      </c>
      <c r="H154" t="str">
        <f t="shared" si="30"/>
        <v>604 Star 19/49</v>
      </c>
    </row>
    <row r="155" spans="1:24" x14ac:dyDescent="0.2">
      <c r="A155">
        <v>9</v>
      </c>
      <c r="B155" t="s">
        <v>51</v>
      </c>
      <c r="C155">
        <v>2.67</v>
      </c>
      <c r="D155">
        <v>1.7290000000000001</v>
      </c>
      <c r="E155">
        <f t="shared" si="32"/>
        <v>647.56554307116107</v>
      </c>
      <c r="F155" s="9">
        <f t="shared" ref="F155:F156" si="33">E155/E156*F156</f>
        <v>585.72303370786517</v>
      </c>
      <c r="G155">
        <f t="shared" si="29"/>
        <v>585.72303370786517</v>
      </c>
      <c r="H155" t="str">
        <f t="shared" si="30"/>
        <v>647,6 Plasma 15/27</v>
      </c>
    </row>
    <row r="156" spans="1:24" x14ac:dyDescent="0.2">
      <c r="A156">
        <v>10</v>
      </c>
      <c r="B156" t="s">
        <v>52</v>
      </c>
      <c r="C156">
        <v>3.99</v>
      </c>
      <c r="D156">
        <v>2.59</v>
      </c>
      <c r="E156">
        <f t="shared" si="32"/>
        <v>649.12280701754378</v>
      </c>
      <c r="F156" s="9">
        <f t="shared" si="33"/>
        <v>587.13157894736833</v>
      </c>
      <c r="G156">
        <f t="shared" si="29"/>
        <v>587.13157894736844</v>
      </c>
      <c r="H156" t="str">
        <f t="shared" si="30"/>
        <v>649,1 Plasma 15/40</v>
      </c>
    </row>
    <row r="157" spans="1:24" x14ac:dyDescent="0.2">
      <c r="A157">
        <v>11</v>
      </c>
      <c r="B157" t="s">
        <v>53</v>
      </c>
      <c r="C157">
        <v>3.35</v>
      </c>
      <c r="D157">
        <v>2.2269999999999999</v>
      </c>
      <c r="E157">
        <f t="shared" si="32"/>
        <v>664.77611940298493</v>
      </c>
      <c r="F157" s="9">
        <f>E157/E158*F158</f>
        <v>601.28999999999985</v>
      </c>
      <c r="G157">
        <f t="shared" si="29"/>
        <v>601.28999999999985</v>
      </c>
      <c r="H157" t="str">
        <f t="shared" si="30"/>
        <v>664,8 Plasma 19/34</v>
      </c>
      <c r="X157" s="92"/>
    </row>
    <row r="158" spans="1:24" x14ac:dyDescent="0.2">
      <c r="A158">
        <v>12</v>
      </c>
      <c r="B158" t="s">
        <v>54</v>
      </c>
      <c r="C158">
        <v>5.01</v>
      </c>
      <c r="D158">
        <v>3.34</v>
      </c>
      <c r="E158">
        <f t="shared" si="32"/>
        <v>666.66666666666663</v>
      </c>
      <c r="F158">
        <v>603</v>
      </c>
      <c r="G158">
        <f t="shared" si="29"/>
        <v>602.99999999999989</v>
      </c>
      <c r="H158" t="str">
        <f t="shared" si="30"/>
        <v>666,7 Plasma 19/50</v>
      </c>
    </row>
    <row r="161" spans="1:7" x14ac:dyDescent="0.2">
      <c r="A161" t="s">
        <v>188</v>
      </c>
      <c r="B161" s="6">
        <v>1</v>
      </c>
      <c r="C161">
        <f>VLOOKUP($B161,$162:$168,3,FALSE)</f>
        <v>270000</v>
      </c>
      <c r="D161">
        <f>VLOOKUP($B161,$162:$168,4,FALSE)</f>
        <v>225000</v>
      </c>
    </row>
    <row r="162" spans="1:7" x14ac:dyDescent="0.2">
      <c r="A162">
        <v>1</v>
      </c>
      <c r="B162" s="85">
        <v>0.45</v>
      </c>
      <c r="C162" s="12">
        <f t="shared" ref="C162:C167" si="34">(X$22 +IF($B$82=2,$X$48,0))*B162</f>
        <v>270000</v>
      </c>
      <c r="D162" s="12">
        <f t="shared" ref="D162:D167" si="35">(X$24 +IF($B$82=2,$X$48,0))*B162</f>
        <v>225000</v>
      </c>
      <c r="E162" t="str">
        <f t="shared" ref="E162:E167" si="36">100*B162&amp;" %   "&amp;G162</f>
        <v>45 %   Großunternehmen (GU)</v>
      </c>
      <c r="G162" s="84" t="s">
        <v>192</v>
      </c>
    </row>
    <row r="163" spans="1:7" x14ac:dyDescent="0.2">
      <c r="A163">
        <v>2</v>
      </c>
      <c r="B163" s="85">
        <v>0.55000000000000004</v>
      </c>
      <c r="C163" s="12">
        <f t="shared" si="34"/>
        <v>330000</v>
      </c>
      <c r="D163" s="12">
        <f t="shared" si="35"/>
        <v>275000</v>
      </c>
      <c r="E163" t="str">
        <f t="shared" si="36"/>
        <v>55 %   Mittlere Unternehmen (MU)</v>
      </c>
      <c r="G163" s="84" t="s">
        <v>193</v>
      </c>
    </row>
    <row r="164" spans="1:7" x14ac:dyDescent="0.2">
      <c r="A164">
        <v>3</v>
      </c>
      <c r="B164" s="85">
        <v>0.65</v>
      </c>
      <c r="C164" s="12">
        <f t="shared" si="34"/>
        <v>390000</v>
      </c>
      <c r="D164" s="12">
        <f t="shared" si="35"/>
        <v>325000</v>
      </c>
      <c r="E164" t="str">
        <f t="shared" si="36"/>
        <v>65 %   Kleinunternehmen (KU)</v>
      </c>
      <c r="G164" s="84" t="s">
        <v>194</v>
      </c>
    </row>
    <row r="165" spans="1:7" x14ac:dyDescent="0.2">
      <c r="A165">
        <v>4</v>
      </c>
      <c r="B165" s="85">
        <v>0.6</v>
      </c>
      <c r="C165" s="12">
        <f t="shared" si="34"/>
        <v>360000</v>
      </c>
      <c r="D165" s="12">
        <f t="shared" si="35"/>
        <v>300000</v>
      </c>
      <c r="E165" t="str">
        <f t="shared" si="36"/>
        <v>60 %   GU Sonderfördergebiete</v>
      </c>
      <c r="G165" s="84" t="s">
        <v>189</v>
      </c>
    </row>
    <row r="166" spans="1:7" x14ac:dyDescent="0.2">
      <c r="A166">
        <v>5</v>
      </c>
      <c r="B166" s="85">
        <v>0.7</v>
      </c>
      <c r="C166" s="12">
        <f t="shared" si="34"/>
        <v>420000</v>
      </c>
      <c r="D166" s="12">
        <f t="shared" si="35"/>
        <v>350000</v>
      </c>
      <c r="E166" t="str">
        <f t="shared" si="36"/>
        <v>70 %   MU Sonderfördergebiete</v>
      </c>
      <c r="G166" s="84" t="s">
        <v>190</v>
      </c>
    </row>
    <row r="167" spans="1:7" x14ac:dyDescent="0.2">
      <c r="A167">
        <v>6</v>
      </c>
      <c r="B167" s="85">
        <v>0.8</v>
      </c>
      <c r="C167" s="12">
        <f t="shared" si="34"/>
        <v>480000</v>
      </c>
      <c r="D167" s="12">
        <f t="shared" si="35"/>
        <v>400000</v>
      </c>
      <c r="E167" t="str">
        <f t="shared" si="36"/>
        <v>80 %   KU Sonderfördergebiete</v>
      </c>
      <c r="G167" s="84" t="s">
        <v>191</v>
      </c>
    </row>
    <row r="168" spans="1:7" x14ac:dyDescent="0.2">
      <c r="A168">
        <v>7</v>
      </c>
      <c r="B168" s="85">
        <f>X26</f>
        <v>1</v>
      </c>
      <c r="C168">
        <f>(X$22 +IF($B$82=2,$X$48,0))*X$26</f>
        <v>600000</v>
      </c>
      <c r="D168" s="12">
        <f>(X$24 +IF($B$82=2,$X$48,0))*X$26</f>
        <v>500000</v>
      </c>
      <c r="E168" t="s">
        <v>7</v>
      </c>
    </row>
    <row r="170" spans="1:7" x14ac:dyDescent="0.2">
      <c r="A170" s="52" t="s">
        <v>212</v>
      </c>
      <c r="B170" s="6">
        <v>1</v>
      </c>
      <c r="C170" s="15">
        <f>VLOOKUP($B170,$171:$174,3,FALSE)</f>
        <v>0</v>
      </c>
      <c r="D170" s="15">
        <f>VLOOKUP($B170,$171:$174,4,FALSE)</f>
        <v>1</v>
      </c>
    </row>
    <row r="171" spans="1:7" x14ac:dyDescent="0.2">
      <c r="A171">
        <v>1</v>
      </c>
      <c r="B171" t="s">
        <v>12</v>
      </c>
      <c r="C171">
        <v>0</v>
      </c>
      <c r="D171">
        <v>1</v>
      </c>
    </row>
    <row r="172" spans="1:7" x14ac:dyDescent="0.2">
      <c r="A172">
        <v>2</v>
      </c>
      <c r="B172" t="s">
        <v>213</v>
      </c>
      <c r="C172">
        <v>0</v>
      </c>
      <c r="D172">
        <v>1.2</v>
      </c>
    </row>
    <row r="173" spans="1:7" x14ac:dyDescent="0.2">
      <c r="A173">
        <v>3</v>
      </c>
      <c r="B173" t="s">
        <v>214</v>
      </c>
      <c r="C173">
        <v>600</v>
      </c>
      <c r="D173">
        <v>1</v>
      </c>
    </row>
    <row r="174" spans="1:7" x14ac:dyDescent="0.2">
      <c r="A174">
        <v>4</v>
      </c>
      <c r="B174" t="s">
        <v>215</v>
      </c>
      <c r="C174">
        <v>600</v>
      </c>
      <c r="D174">
        <v>1.2</v>
      </c>
    </row>
  </sheetData>
  <sheetProtection password="E0B2" sheet="1" objects="1" scenarios="1"/>
  <sortState ref="A109:I122">
    <sortCondition descending="1" ref="C109:C122"/>
  </sortState>
  <mergeCells count="2">
    <mergeCell ref="T2:T3"/>
    <mergeCell ref="T51:AB51"/>
  </mergeCells>
  <conditionalFormatting sqref="X24">
    <cfRule type="expression" dxfId="77" priority="54">
      <formula>$B$18=16</formula>
    </cfRule>
    <cfRule type="expression" dxfId="76" priority="94">
      <formula>$B$18=16</formula>
    </cfRule>
  </conditionalFormatting>
  <conditionalFormatting sqref="Z24">
    <cfRule type="expression" dxfId="75" priority="93">
      <formula>$B$18=8</formula>
    </cfRule>
  </conditionalFormatting>
  <conditionalFormatting sqref="Z2">
    <cfRule type="expression" dxfId="74" priority="90">
      <formula>$B$18=8</formula>
    </cfRule>
  </conditionalFormatting>
  <conditionalFormatting sqref="U4 U9">
    <cfRule type="expression" dxfId="73" priority="88">
      <formula>U4=MAX($U4:$AB4)</formula>
    </cfRule>
  </conditionalFormatting>
  <conditionalFormatting sqref="V4:X4 Z4:AB4">
    <cfRule type="expression" dxfId="72" priority="87">
      <formula>V4=MAX($U4:$AB4)</formula>
    </cfRule>
  </conditionalFormatting>
  <conditionalFormatting sqref="U13">
    <cfRule type="expression" dxfId="71" priority="86">
      <formula>U13=MAX($U13:$AB13)</formula>
    </cfRule>
  </conditionalFormatting>
  <conditionalFormatting sqref="V13:X13 Z13:AB13">
    <cfRule type="expression" dxfId="70" priority="85">
      <formula>V13=MAX($U13:$AB13)</formula>
    </cfRule>
  </conditionalFormatting>
  <conditionalFormatting sqref="Z11:AB11">
    <cfRule type="expression" dxfId="69" priority="84">
      <formula>Z11=MIN($U11:$AB11)</formula>
    </cfRule>
  </conditionalFormatting>
  <conditionalFormatting sqref="U14">
    <cfRule type="expression" dxfId="68" priority="83">
      <formula>U14=MIN($U14:$AB14)</formula>
    </cfRule>
  </conditionalFormatting>
  <conditionalFormatting sqref="V14:X14 Z14:AB14">
    <cfRule type="expression" dxfId="67" priority="82">
      <formula>V14=MIN($U14:$AB14)</formula>
    </cfRule>
  </conditionalFormatting>
  <conditionalFormatting sqref="U5">
    <cfRule type="expression" dxfId="66" priority="81">
      <formula>U5=MAX($U5:$AB5)</formula>
    </cfRule>
  </conditionalFormatting>
  <conditionalFormatting sqref="V5:X5 Z5:AB5">
    <cfRule type="expression" dxfId="65" priority="80">
      <formula>V5=MAX($U5:$AB5)</formula>
    </cfRule>
  </conditionalFormatting>
  <conditionalFormatting sqref="U10">
    <cfRule type="expression" dxfId="64" priority="79">
      <formula>U10=MAX($U10:$AB10)</formula>
    </cfRule>
  </conditionalFormatting>
  <conditionalFormatting sqref="V10:X10 Z10:AB10">
    <cfRule type="expression" dxfId="63" priority="78">
      <formula>V10=MAX($U10:$AB10)</formula>
    </cfRule>
  </conditionalFormatting>
  <conditionalFormatting sqref="U12">
    <cfRule type="expression" dxfId="62" priority="77">
      <formula>U12=MIN($U12:$AB12)</formula>
    </cfRule>
  </conditionalFormatting>
  <conditionalFormatting sqref="V12:X12 Z12:AB12">
    <cfRule type="expression" dxfId="61" priority="76">
      <formula>V12=MIN($U12:$AB12)</formula>
    </cfRule>
  </conditionalFormatting>
  <conditionalFormatting sqref="U8">
    <cfRule type="expression" dxfId="60" priority="75">
      <formula>U8=MAX($U8:$AB8)</formula>
    </cfRule>
  </conditionalFormatting>
  <conditionalFormatting sqref="V8:X8 Z8:AB8">
    <cfRule type="expression" dxfId="59" priority="74">
      <formula>V8=MAX($U8:$AB8)</formula>
    </cfRule>
  </conditionalFormatting>
  <conditionalFormatting sqref="U6">
    <cfRule type="expression" dxfId="58" priority="73">
      <formula>U6=MAX($U6:$AB6)</formula>
    </cfRule>
  </conditionalFormatting>
  <conditionalFormatting sqref="V6:X6 Z6:AB6">
    <cfRule type="expression" dxfId="57" priority="72">
      <formula>V6=MAX($U6:$AB6)</formula>
    </cfRule>
  </conditionalFormatting>
  <conditionalFormatting sqref="U7">
    <cfRule type="expression" dxfId="56" priority="71">
      <formula>U7=MAX($U7:$AB7)</formula>
    </cfRule>
  </conditionalFormatting>
  <conditionalFormatting sqref="V7:X7 Z7:AB7">
    <cfRule type="expression" dxfId="55" priority="70">
      <formula>V7=MAX($U7:$AB7)</formula>
    </cfRule>
  </conditionalFormatting>
  <conditionalFormatting sqref="V9:X9 Z9:AB9">
    <cfRule type="expression" dxfId="54" priority="69">
      <formula>V9=MAX($U9:$AB9)</formula>
    </cfRule>
  </conditionalFormatting>
  <conditionalFormatting sqref="U11:Y11">
    <cfRule type="expression" dxfId="53" priority="68">
      <formula>U11=MIN($U11:$AB11)</formula>
    </cfRule>
  </conditionalFormatting>
  <conditionalFormatting sqref="AB40">
    <cfRule type="expression" dxfId="52" priority="57">
      <formula>$B$18=16</formula>
    </cfRule>
    <cfRule type="expression" dxfId="51" priority="62">
      <formula>$B$18=16</formula>
    </cfRule>
  </conditionalFormatting>
  <conditionalFormatting sqref="X40">
    <cfRule type="expression" dxfId="50" priority="56">
      <formula>$B$18=16</formula>
    </cfRule>
    <cfRule type="expression" dxfId="49" priority="60">
      <formula>$B$18=16</formula>
    </cfRule>
  </conditionalFormatting>
  <conditionalFormatting sqref="X48 X50">
    <cfRule type="expression" dxfId="48" priority="95">
      <formula>$B$82&lt;&gt;2</formula>
    </cfRule>
    <cfRule type="expression" dxfId="47" priority="96">
      <formula>$B$82=2</formula>
    </cfRule>
  </conditionalFormatting>
  <conditionalFormatting sqref="X50">
    <cfRule type="expression" dxfId="46" priority="99">
      <formula>B82=2</formula>
    </cfRule>
    <cfRule type="expression" dxfId="45" priority="100">
      <formula>B82&lt;&gt;2</formula>
    </cfRule>
  </conditionalFormatting>
  <conditionalFormatting sqref="AB38">
    <cfRule type="expression" dxfId="44" priority="103">
      <formula>B59=16</formula>
    </cfRule>
    <cfRule type="expression" dxfId="43" priority="104">
      <formula>B59&lt;&gt;16</formula>
    </cfRule>
  </conditionalFormatting>
  <conditionalFormatting sqref="X26">
    <cfRule type="expression" dxfId="42" priority="105">
      <formula>$B$161&lt;&gt;7</formula>
    </cfRule>
    <cfRule type="expression" dxfId="41" priority="106">
      <formula>$B$161&lt;&gt;7</formula>
    </cfRule>
  </conditionalFormatting>
  <conditionalFormatting sqref="Z26">
    <cfRule type="expression" dxfId="40" priority="107">
      <formula>$B$40&lt;&gt;4</formula>
    </cfRule>
  </conditionalFormatting>
  <conditionalFormatting sqref="AA38">
    <cfRule type="expression" dxfId="39" priority="48">
      <formula>B59&lt;&gt;16</formula>
    </cfRule>
  </conditionalFormatting>
  <conditionalFormatting sqref="AB18">
    <cfRule type="expression" dxfId="38" priority="42">
      <formula>B59=16</formula>
    </cfRule>
    <cfRule type="expression" dxfId="37" priority="43">
      <formula>B59&lt;&gt;16</formula>
    </cfRule>
  </conditionalFormatting>
  <conditionalFormatting sqref="AA18">
    <cfRule type="expression" dxfId="36" priority="41">
      <formula>B59&lt;&gt;16</formula>
    </cfRule>
  </conditionalFormatting>
  <conditionalFormatting sqref="U19">
    <cfRule type="expression" dxfId="35" priority="40">
      <formula>B59&lt;&gt;16</formula>
    </cfRule>
  </conditionalFormatting>
  <conditionalFormatting sqref="U21">
    <cfRule type="expression" dxfId="34" priority="39">
      <formula>B18&lt;&gt;16</formula>
    </cfRule>
  </conditionalFormatting>
  <conditionalFormatting sqref="X20">
    <cfRule type="expression" dxfId="33" priority="37">
      <formula>B18=16</formula>
    </cfRule>
    <cfRule type="expression" dxfId="32" priority="38">
      <formula>B18=16</formula>
    </cfRule>
  </conditionalFormatting>
  <conditionalFormatting sqref="AB20">
    <cfRule type="expression" dxfId="31" priority="23">
      <formula>$B$18=16</formula>
    </cfRule>
    <cfRule type="expression" dxfId="30" priority="24">
      <formula>$B$18=16</formula>
    </cfRule>
  </conditionalFormatting>
  <conditionalFormatting sqref="X25">
    <cfRule type="expression" dxfId="29" priority="22">
      <formula>B18=16</formula>
    </cfRule>
  </conditionalFormatting>
  <conditionalFormatting sqref="AB16">
    <cfRule type="expression" dxfId="28" priority="20">
      <formula>$B$59=16</formula>
    </cfRule>
    <cfRule type="expression" dxfId="27" priority="21">
      <formula>$B$59=16</formula>
    </cfRule>
  </conditionalFormatting>
  <conditionalFormatting sqref="Y24">
    <cfRule type="expression" dxfId="26" priority="5">
      <formula>$B$18=16</formula>
    </cfRule>
    <cfRule type="expression" dxfId="25" priority="18">
      <formula>$B$18=8</formula>
    </cfRule>
  </conditionalFormatting>
  <conditionalFormatting sqref="Y26">
    <cfRule type="expression" dxfId="24" priority="19">
      <formula>$B$40&lt;&gt;4</formula>
    </cfRule>
  </conditionalFormatting>
  <conditionalFormatting sqref="Y5">
    <cfRule type="expression" dxfId="23" priority="17">
      <formula>Y5=MAX($U5:$AB5)</formula>
    </cfRule>
  </conditionalFormatting>
  <conditionalFormatting sqref="Y6">
    <cfRule type="expression" dxfId="22" priority="16">
      <formula>Y6=MAX($U6:$AB6)</formula>
    </cfRule>
  </conditionalFormatting>
  <conditionalFormatting sqref="Y7">
    <cfRule type="expression" dxfId="21" priority="15">
      <formula>Y7=MAX($U7:$AB7)</formula>
    </cfRule>
  </conditionalFormatting>
  <conditionalFormatting sqref="Y8">
    <cfRule type="expression" dxfId="20" priority="14">
      <formula>Y8=MAX($U8:$AB8)</formula>
    </cfRule>
  </conditionalFormatting>
  <conditionalFormatting sqref="Y4">
    <cfRule type="expression" dxfId="19" priority="13">
      <formula>Y4=MAX($U4:$AB4)</formula>
    </cfRule>
  </conditionalFormatting>
  <conditionalFormatting sqref="Y9">
    <cfRule type="expression" dxfId="18" priority="12">
      <formula>Y9=MAX($U9:$AB9)</formula>
    </cfRule>
  </conditionalFormatting>
  <conditionalFormatting sqref="Y10">
    <cfRule type="expression" dxfId="17" priority="11">
      <formula>Y10=MAX($U10:$AB10)</formula>
    </cfRule>
  </conditionalFormatting>
  <conditionalFormatting sqref="Y12">
    <cfRule type="expression" dxfId="16" priority="10">
      <formula>Y12=MIN($U12:$AB12)</formula>
    </cfRule>
  </conditionalFormatting>
  <conditionalFormatting sqref="Y13">
    <cfRule type="expression" dxfId="15" priority="9">
      <formula>Y13=MAX($U13:$AB13)</formula>
    </cfRule>
  </conditionalFormatting>
  <conditionalFormatting sqref="Y14">
    <cfRule type="expression" dxfId="14" priority="8">
      <formula>Y14=MIN($U14:$AB14)</formula>
    </cfRule>
  </conditionalFormatting>
  <conditionalFormatting sqref="X18">
    <cfRule type="expression" dxfId="13" priority="108">
      <formula>AND(B59=16,$AB$18&lt;&gt;0)</formula>
    </cfRule>
    <cfRule type="expression" dxfId="12" priority="109">
      <formula>AND(B59=16,$AB$18&lt;&gt;0)</formula>
    </cfRule>
    <cfRule type="expression" dxfId="11" priority="110">
      <formula>B59=16</formula>
    </cfRule>
    <cfRule type="expression" dxfId="10" priority="111">
      <formula>B59=16</formula>
    </cfRule>
  </conditionalFormatting>
  <conditionalFormatting sqref="AB24">
    <cfRule type="expression" dxfId="9" priority="6">
      <formula>$B$18=16</formula>
    </cfRule>
    <cfRule type="expression" dxfId="8" priority="7">
      <formula>$B$18=16</formula>
    </cfRule>
  </conditionalFormatting>
  <conditionalFormatting sqref="X38">
    <cfRule type="expression" dxfId="7" priority="112">
      <formula>AND(B59=16,$AB$38&lt;&gt;0)</formula>
    </cfRule>
    <cfRule type="expression" dxfId="6" priority="113">
      <formula>AND(B59=16,$AB$38&lt;&gt;0)</formula>
    </cfRule>
    <cfRule type="expression" dxfId="5" priority="114">
      <formula>B59=16</formula>
    </cfRule>
    <cfRule type="expression" dxfId="4" priority="115">
      <formula>B59=16</formula>
    </cfRule>
  </conditionalFormatting>
  <conditionalFormatting sqref="Y40">
    <cfRule type="expression" dxfId="3" priority="4">
      <formula>$B$18=16</formula>
    </cfRule>
  </conditionalFormatting>
  <conditionalFormatting sqref="AA40">
    <cfRule type="expression" dxfId="2" priority="3">
      <formula>$B$18=16</formula>
    </cfRule>
  </conditionalFormatting>
  <conditionalFormatting sqref="Y20">
    <cfRule type="expression" dxfId="1" priority="2">
      <formula>$B$18=16</formula>
    </cfRule>
  </conditionalFormatting>
  <conditionalFormatting sqref="AA20">
    <cfRule type="expression" dxfId="0" priority="1">
      <formula>$B$18=16</formula>
    </cfRule>
  </conditionalFormatting>
  <pageMargins left="0.70866141732283472" right="0.70866141732283472" top="0.74803149606299213" bottom="0.74803149606299213" header="0.31496062992125984" footer="0.31496062992125984"/>
  <pageSetup paperSize="9" scale="8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locked="0" defaultSize="0" autoLine="0" autoPict="0">
                <anchor moveWithCells="1">
                  <from>
                    <xdr:col>20</xdr:col>
                    <xdr:colOff>9525</xdr:colOff>
                    <xdr:row>14</xdr:row>
                    <xdr:rowOff>133350</xdr:rowOff>
                  </from>
                  <to>
                    <xdr:col>22</xdr:col>
                    <xdr:colOff>333375</xdr:colOff>
                    <xdr:row>16</xdr:row>
                    <xdr:rowOff>0</xdr:rowOff>
                  </to>
                </anchor>
              </controlPr>
            </control>
          </mc:Choice>
        </mc:AlternateContent>
        <mc:AlternateContent xmlns:mc="http://schemas.openxmlformats.org/markup-compatibility/2006">
          <mc:Choice Requires="x14">
            <control shapeId="6146" r:id="rId5" name="Drop Down 2">
              <controlPr locked="0" defaultSize="0" autoLine="0" autoPict="0">
                <anchor moveWithCells="1">
                  <from>
                    <xdr:col>20</xdr:col>
                    <xdr:colOff>0</xdr:colOff>
                    <xdr:row>25</xdr:row>
                    <xdr:rowOff>0</xdr:rowOff>
                  </from>
                  <to>
                    <xdr:col>22</xdr:col>
                    <xdr:colOff>314325</xdr:colOff>
                    <xdr:row>26</xdr:row>
                    <xdr:rowOff>28575</xdr:rowOff>
                  </to>
                </anchor>
              </controlPr>
            </control>
          </mc:Choice>
        </mc:AlternateContent>
        <mc:AlternateContent xmlns:mc="http://schemas.openxmlformats.org/markup-compatibility/2006">
          <mc:Choice Requires="x14">
            <control shapeId="6147" r:id="rId6" name="Drop Down 3">
              <controlPr locked="0" defaultSize="0" autoLine="0" autoPict="0">
                <anchor moveWithCells="1">
                  <from>
                    <xdr:col>22</xdr:col>
                    <xdr:colOff>323850</xdr:colOff>
                    <xdr:row>16</xdr:row>
                    <xdr:rowOff>38100</xdr:rowOff>
                  </from>
                  <to>
                    <xdr:col>22</xdr:col>
                    <xdr:colOff>819150</xdr:colOff>
                    <xdr:row>17</xdr:row>
                    <xdr:rowOff>152400</xdr:rowOff>
                  </to>
                </anchor>
              </controlPr>
            </control>
          </mc:Choice>
        </mc:AlternateContent>
        <mc:AlternateContent xmlns:mc="http://schemas.openxmlformats.org/markup-compatibility/2006">
          <mc:Choice Requires="x14">
            <control shapeId="6148" r:id="rId7" name="Drop Down 4">
              <controlPr locked="0" defaultSize="0" autoLine="0" autoPict="0">
                <anchor moveWithCells="1">
                  <from>
                    <xdr:col>20</xdr:col>
                    <xdr:colOff>0</xdr:colOff>
                    <xdr:row>27</xdr:row>
                    <xdr:rowOff>0</xdr:rowOff>
                  </from>
                  <to>
                    <xdr:col>22</xdr:col>
                    <xdr:colOff>323850</xdr:colOff>
                    <xdr:row>28</xdr:row>
                    <xdr:rowOff>28575</xdr:rowOff>
                  </to>
                </anchor>
              </controlPr>
            </control>
          </mc:Choice>
        </mc:AlternateContent>
        <mc:AlternateContent xmlns:mc="http://schemas.openxmlformats.org/markup-compatibility/2006">
          <mc:Choice Requires="x14">
            <control shapeId="6149" r:id="rId8" name="Drop Down 5">
              <controlPr locked="0" defaultSize="0" autoLine="0" autoPict="0">
                <anchor moveWithCells="1">
                  <from>
                    <xdr:col>20</xdr:col>
                    <xdr:colOff>9525</xdr:colOff>
                    <xdr:row>21</xdr:row>
                    <xdr:rowOff>0</xdr:rowOff>
                  </from>
                  <to>
                    <xdr:col>22</xdr:col>
                    <xdr:colOff>333375</xdr:colOff>
                    <xdr:row>22</xdr:row>
                    <xdr:rowOff>28575</xdr:rowOff>
                  </to>
                </anchor>
              </controlPr>
            </control>
          </mc:Choice>
        </mc:AlternateContent>
        <mc:AlternateContent xmlns:mc="http://schemas.openxmlformats.org/markup-compatibility/2006">
          <mc:Choice Requires="x14">
            <control shapeId="6151" r:id="rId9" name="Drop Down 7">
              <controlPr locked="0" defaultSize="0" autoLine="0" autoPict="0">
                <anchor moveWithCells="1">
                  <from>
                    <xdr:col>20</xdr:col>
                    <xdr:colOff>0</xdr:colOff>
                    <xdr:row>22</xdr:row>
                    <xdr:rowOff>142875</xdr:rowOff>
                  </from>
                  <to>
                    <xdr:col>22</xdr:col>
                    <xdr:colOff>314325</xdr:colOff>
                    <xdr:row>24</xdr:row>
                    <xdr:rowOff>28575</xdr:rowOff>
                  </to>
                </anchor>
              </controlPr>
            </control>
          </mc:Choice>
        </mc:AlternateContent>
        <mc:AlternateContent xmlns:mc="http://schemas.openxmlformats.org/markup-compatibility/2006">
          <mc:Choice Requires="x14">
            <control shapeId="6152" r:id="rId10" name="Drop Down 8">
              <controlPr locked="0" defaultSize="0" autoLine="0" autoPict="0">
                <anchor moveWithCells="1">
                  <from>
                    <xdr:col>20</xdr:col>
                    <xdr:colOff>9525</xdr:colOff>
                    <xdr:row>19</xdr:row>
                    <xdr:rowOff>0</xdr:rowOff>
                  </from>
                  <to>
                    <xdr:col>22</xdr:col>
                    <xdr:colOff>333375</xdr:colOff>
                    <xdr:row>20</xdr:row>
                    <xdr:rowOff>9525</xdr:rowOff>
                  </to>
                </anchor>
              </controlPr>
            </control>
          </mc:Choice>
        </mc:AlternateContent>
        <mc:AlternateContent xmlns:mc="http://schemas.openxmlformats.org/markup-compatibility/2006">
          <mc:Choice Requires="x14">
            <control shapeId="6153" r:id="rId11" name="Drop Down 9">
              <controlPr locked="0" defaultSize="0" autoLine="0" autoPict="0">
                <anchor moveWithCells="1">
                  <from>
                    <xdr:col>20</xdr:col>
                    <xdr:colOff>0</xdr:colOff>
                    <xdr:row>28</xdr:row>
                    <xdr:rowOff>76200</xdr:rowOff>
                  </from>
                  <to>
                    <xdr:col>22</xdr:col>
                    <xdr:colOff>314325</xdr:colOff>
                    <xdr:row>30</xdr:row>
                    <xdr:rowOff>9525</xdr:rowOff>
                  </to>
                </anchor>
              </controlPr>
            </control>
          </mc:Choice>
        </mc:AlternateContent>
        <mc:AlternateContent xmlns:mc="http://schemas.openxmlformats.org/markup-compatibility/2006">
          <mc:Choice Requires="x14">
            <control shapeId="6157" r:id="rId12" name="Drop Down 13">
              <controlPr locked="0" defaultSize="0" autoLine="0" autoPict="0">
                <anchor moveWithCells="1">
                  <from>
                    <xdr:col>20</xdr:col>
                    <xdr:colOff>0</xdr:colOff>
                    <xdr:row>32</xdr:row>
                    <xdr:rowOff>85725</xdr:rowOff>
                  </from>
                  <to>
                    <xdr:col>22</xdr:col>
                    <xdr:colOff>323850</xdr:colOff>
                    <xdr:row>34</xdr:row>
                    <xdr:rowOff>19050</xdr:rowOff>
                  </to>
                </anchor>
              </controlPr>
            </control>
          </mc:Choice>
        </mc:AlternateContent>
        <mc:AlternateContent xmlns:mc="http://schemas.openxmlformats.org/markup-compatibility/2006">
          <mc:Choice Requires="x14">
            <control shapeId="6158" r:id="rId13" name="Drop Down 14">
              <controlPr locked="0" defaultSize="0" autoLine="0" autoPict="0">
                <anchor moveWithCells="1">
                  <from>
                    <xdr:col>20</xdr:col>
                    <xdr:colOff>9525</xdr:colOff>
                    <xdr:row>35</xdr:row>
                    <xdr:rowOff>0</xdr:rowOff>
                  </from>
                  <to>
                    <xdr:col>22</xdr:col>
                    <xdr:colOff>333375</xdr:colOff>
                    <xdr:row>36</xdr:row>
                    <xdr:rowOff>28575</xdr:rowOff>
                  </to>
                </anchor>
              </controlPr>
            </control>
          </mc:Choice>
        </mc:AlternateContent>
        <mc:AlternateContent xmlns:mc="http://schemas.openxmlformats.org/markup-compatibility/2006">
          <mc:Choice Requires="x14">
            <control shapeId="6159" r:id="rId14" name="Drop Down 15">
              <controlPr locked="0" defaultSize="0" autoLine="0" autoPict="0">
                <anchor moveWithCells="1">
                  <from>
                    <xdr:col>20</xdr:col>
                    <xdr:colOff>19050</xdr:colOff>
                    <xdr:row>37</xdr:row>
                    <xdr:rowOff>19050</xdr:rowOff>
                  </from>
                  <to>
                    <xdr:col>22</xdr:col>
                    <xdr:colOff>342900</xdr:colOff>
                    <xdr:row>38</xdr:row>
                    <xdr:rowOff>47625</xdr:rowOff>
                  </to>
                </anchor>
              </controlPr>
            </control>
          </mc:Choice>
        </mc:AlternateContent>
        <mc:AlternateContent xmlns:mc="http://schemas.openxmlformats.org/markup-compatibility/2006">
          <mc:Choice Requires="x14">
            <control shapeId="6344" r:id="rId15" name="Drop Down 200">
              <controlPr locked="0" defaultSize="0" autoLine="0" autoPict="0">
                <anchor moveWithCells="1">
                  <from>
                    <xdr:col>20</xdr:col>
                    <xdr:colOff>9525</xdr:colOff>
                    <xdr:row>16</xdr:row>
                    <xdr:rowOff>38100</xdr:rowOff>
                  </from>
                  <to>
                    <xdr:col>22</xdr:col>
                    <xdr:colOff>333375</xdr:colOff>
                    <xdr:row>17</xdr:row>
                    <xdr:rowOff>133350</xdr:rowOff>
                  </to>
                </anchor>
              </controlPr>
            </control>
          </mc:Choice>
        </mc:AlternateContent>
        <mc:AlternateContent xmlns:mc="http://schemas.openxmlformats.org/markup-compatibility/2006">
          <mc:Choice Requires="x14">
            <control shapeId="6345" r:id="rId16" name="Drop Down 201">
              <controlPr locked="0" defaultSize="0" autoLine="0" autoPict="0">
                <anchor moveWithCells="1">
                  <from>
                    <xdr:col>20</xdr:col>
                    <xdr:colOff>9525</xdr:colOff>
                    <xdr:row>39</xdr:row>
                    <xdr:rowOff>85725</xdr:rowOff>
                  </from>
                  <to>
                    <xdr:col>22</xdr:col>
                    <xdr:colOff>323850</xdr:colOff>
                    <xdr:row>40</xdr:row>
                    <xdr:rowOff>123825</xdr:rowOff>
                  </to>
                </anchor>
              </controlPr>
            </control>
          </mc:Choice>
        </mc:AlternateContent>
        <mc:AlternateContent xmlns:mc="http://schemas.openxmlformats.org/markup-compatibility/2006">
          <mc:Choice Requires="x14">
            <control shapeId="6347" r:id="rId17" name="Drop Down 203">
              <controlPr locked="0" defaultSize="0" autoLine="0" autoPict="0">
                <anchor moveWithCells="1">
                  <from>
                    <xdr:col>20</xdr:col>
                    <xdr:colOff>9525</xdr:colOff>
                    <xdr:row>42</xdr:row>
                    <xdr:rowOff>0</xdr:rowOff>
                  </from>
                  <to>
                    <xdr:col>22</xdr:col>
                    <xdr:colOff>323850</xdr:colOff>
                    <xdr:row>43</xdr:row>
                    <xdr:rowOff>19050</xdr:rowOff>
                  </to>
                </anchor>
              </controlPr>
            </control>
          </mc:Choice>
        </mc:AlternateContent>
        <mc:AlternateContent xmlns:mc="http://schemas.openxmlformats.org/markup-compatibility/2006">
          <mc:Choice Requires="x14">
            <control shapeId="6368" r:id="rId18" name="Spinner 224">
              <controlPr defaultSize="0" autoPict="0">
                <anchor moveWithCells="1" sizeWithCells="1">
                  <from>
                    <xdr:col>22</xdr:col>
                    <xdr:colOff>733425</xdr:colOff>
                    <xdr:row>34</xdr:row>
                    <xdr:rowOff>85725</xdr:rowOff>
                  </from>
                  <to>
                    <xdr:col>23</xdr:col>
                    <xdr:colOff>38100</xdr:colOff>
                    <xdr:row>36</xdr:row>
                    <xdr:rowOff>66675</xdr:rowOff>
                  </to>
                </anchor>
              </controlPr>
            </control>
          </mc:Choice>
        </mc:AlternateContent>
        <mc:AlternateContent xmlns:mc="http://schemas.openxmlformats.org/markup-compatibility/2006">
          <mc:Choice Requires="x14">
            <control shapeId="6369" r:id="rId19" name="Spinner 225">
              <controlPr defaultSize="0" autoPict="0">
                <anchor moveWithCells="1" sizeWithCells="1">
                  <from>
                    <xdr:col>22</xdr:col>
                    <xdr:colOff>733425</xdr:colOff>
                    <xdr:row>30</xdr:row>
                    <xdr:rowOff>76200</xdr:rowOff>
                  </from>
                  <to>
                    <xdr:col>23</xdr:col>
                    <xdr:colOff>28575</xdr:colOff>
                    <xdr:row>32</xdr:row>
                    <xdr:rowOff>28575</xdr:rowOff>
                  </to>
                </anchor>
              </controlPr>
            </control>
          </mc:Choice>
        </mc:AlternateContent>
        <mc:AlternateContent xmlns:mc="http://schemas.openxmlformats.org/markup-compatibility/2006">
          <mc:Choice Requires="x14">
            <control shapeId="6374" r:id="rId20" name="Drop Down 230">
              <controlPr locked="0" defaultSize="0" autoLine="0" autoPict="0">
                <anchor moveWithCells="1">
                  <from>
                    <xdr:col>20</xdr:col>
                    <xdr:colOff>19050</xdr:colOff>
                    <xdr:row>46</xdr:row>
                    <xdr:rowOff>66675</xdr:rowOff>
                  </from>
                  <to>
                    <xdr:col>22</xdr:col>
                    <xdr:colOff>342900</xdr:colOff>
                    <xdr:row>48</xdr:row>
                    <xdr:rowOff>28575</xdr:rowOff>
                  </to>
                </anchor>
              </controlPr>
            </control>
          </mc:Choice>
        </mc:AlternateContent>
        <mc:AlternateContent xmlns:mc="http://schemas.openxmlformats.org/markup-compatibility/2006">
          <mc:Choice Requires="x14">
            <control shapeId="6376" r:id="rId21" name="Check Box 232">
              <controlPr locked="0" defaultSize="0" autoFill="0" autoLine="0" autoPict="0" altText="">
                <anchor moveWithCells="1">
                  <from>
                    <xdr:col>25</xdr:col>
                    <xdr:colOff>704850</xdr:colOff>
                    <xdr:row>24</xdr:row>
                    <xdr:rowOff>28575</xdr:rowOff>
                  </from>
                  <to>
                    <xdr:col>27</xdr:col>
                    <xdr:colOff>504825</xdr:colOff>
                    <xdr:row>26</xdr:row>
                    <xdr:rowOff>9525</xdr:rowOff>
                  </to>
                </anchor>
              </controlPr>
            </control>
          </mc:Choice>
        </mc:AlternateContent>
        <mc:AlternateContent xmlns:mc="http://schemas.openxmlformats.org/markup-compatibility/2006">
          <mc:Choice Requires="x14">
            <control shapeId="6647" r:id="rId22" name="Drop Down 503">
              <controlPr locked="0" defaultSize="0" autoLine="0" autoPict="0">
                <anchor moveWithCells="1">
                  <from>
                    <xdr:col>20</xdr:col>
                    <xdr:colOff>0</xdr:colOff>
                    <xdr:row>30</xdr:row>
                    <xdr:rowOff>104775</xdr:rowOff>
                  </from>
                  <to>
                    <xdr:col>22</xdr:col>
                    <xdr:colOff>323850</xdr:colOff>
                    <xdr:row>32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MAP 2015</vt:lpstr>
      <vt:lpstr>'MAP 2015'!Druckbereich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Meißner, Rolf</dc:creator>
  <cp:lastModifiedBy>Meißner, Rolf</cp:lastModifiedBy>
  <cp:lastPrinted>2015-04-29T11:29:31Z</cp:lastPrinted>
  <dcterms:created xsi:type="dcterms:W3CDTF">2014-10-08T15:22:54Z</dcterms:created>
  <dcterms:modified xsi:type="dcterms:W3CDTF">2016-03-14T09:56:00Z</dcterms:modified>
</cp:coreProperties>
</file>